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30" windowWidth="10635" windowHeight="6195" firstSheet="1" activeTab="5"/>
  </bookViews>
  <sheets>
    <sheet name="000000" sheetId="1" state="veryHidden" r:id="rId1"/>
    <sheet name="ตค 61" sheetId="2" r:id="rId2"/>
    <sheet name="พย 61" sheetId="3" r:id="rId3"/>
    <sheet name="ธค 61" sheetId="4" r:id="rId4"/>
    <sheet name="มค 62 " sheetId="5" r:id="rId5"/>
    <sheet name="กพ 62" sheetId="6" r:id="rId6"/>
    <sheet name="มีค 62" sheetId="7" r:id="rId7"/>
  </sheets>
  <definedNames>
    <definedName name="_xlnm.Print_Area" localSheetId="5">'กพ 62'!$A$1:$T$109</definedName>
    <definedName name="_xlnm.Print_Area" localSheetId="1">'ตค 61'!$A$1:$T$109</definedName>
    <definedName name="_xlnm.Print_Area" localSheetId="3">'ธค 61'!$A$1:$T$109</definedName>
    <definedName name="_xlnm.Print_Area" localSheetId="2">'พย 61'!$A$1:$T$109</definedName>
    <definedName name="_xlnm.Print_Area" localSheetId="4">'มค 62 '!$A$1:$T$109</definedName>
    <definedName name="_xlnm.Print_Area" localSheetId="6">'มีค 62'!$A$1:$T$109</definedName>
  </definedNames>
  <calcPr fullCalcOnLoad="1"/>
</workbook>
</file>

<file path=xl/sharedStrings.xml><?xml version="1.0" encoding="utf-8"?>
<sst xmlns="http://schemas.openxmlformats.org/spreadsheetml/2006/main" count="778" uniqueCount="111">
  <si>
    <t xml:space="preserve">                           จนถึงปัจจุบัน</t>
  </si>
  <si>
    <t xml:space="preserve">                           รายการ</t>
  </si>
  <si>
    <t xml:space="preserve">            เดือนนี้</t>
  </si>
  <si>
    <t xml:space="preserve">               บาท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</si>
  <si>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</si>
  <si>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</si>
  <si>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</si>
  <si>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</si>
  <si>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เงินอุดหนุน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</si>
  <si>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</si>
  <si>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</si>
  <si>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</si>
  <si>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</si>
  <si>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</si>
  <si>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</si>
  <si>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</si>
  <si>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 xml:space="preserve"> รหัส</t>
  </si>
  <si>
    <t xml:space="preserve"> บัญชี</t>
  </si>
  <si>
    <t xml:space="preserve">                         รายการ</t>
  </si>
  <si>
    <t>ภาษีจัดสรร</t>
  </si>
  <si>
    <t>รวมรายจ่าย</t>
  </si>
  <si>
    <t>สูงกว่า</t>
  </si>
  <si>
    <t>รายรับ                                        รายจ่าย</t>
  </si>
  <si>
    <t xml:space="preserve">                                 (ต่ำกว่า)</t>
  </si>
  <si>
    <t>ยอดยกไป</t>
  </si>
  <si>
    <t>รวมรายรับ</t>
  </si>
  <si>
    <t>รวมตั้งแต่ต้นปี</t>
  </si>
  <si>
    <t>รายจ่ายค้างจ่าย</t>
  </si>
  <si>
    <t xml:space="preserve"> - 2 -</t>
  </si>
  <si>
    <t>งบกลาง</t>
  </si>
  <si>
    <t>ลูกหนี้เงินยืมเงินสะสม</t>
  </si>
  <si>
    <t>รวมถึงเดือนก่อน</t>
  </si>
  <si>
    <t xml:space="preserve">  ประมาณการ</t>
  </si>
  <si>
    <t>เงินรับฝาก</t>
  </si>
  <si>
    <t xml:space="preserve">เงินรับฝาก </t>
  </si>
  <si>
    <t>องค์การบริหารส่วนตำบลปากแพรก</t>
  </si>
  <si>
    <t>ลูกหนี้ภาษีบำรุงท้องที่</t>
  </si>
  <si>
    <t>เงินรายจ่ายค้างจ่าย</t>
  </si>
  <si>
    <t>รายจ่ายผัดส่งใบสำคัญ</t>
  </si>
  <si>
    <t>ลูกหนี้ภาษีป้าย</t>
  </si>
  <si>
    <t>เงินอุดหนุนทั่วไป</t>
  </si>
  <si>
    <t xml:space="preserve">                ...............................</t>
  </si>
  <si>
    <t>ทุนสำรองเงินสะสม 25%</t>
  </si>
  <si>
    <t>ประมาณการ</t>
  </si>
  <si>
    <t>คงเหลือ</t>
  </si>
  <si>
    <t>ลูกหนี้เงินทุนโครงการเศรษฐกิจชุมชน</t>
  </si>
  <si>
    <t>จนถึงปัจจุบัน</t>
  </si>
  <si>
    <t>รวม</t>
  </si>
  <si>
    <t>เกิดขึ้นจริง</t>
  </si>
  <si>
    <t>(บาท)</t>
  </si>
  <si>
    <t>เฉพาะกิจ (บาท)</t>
  </si>
  <si>
    <t>อุดหนุนระบุวัตถุ</t>
  </si>
  <si>
    <t>ประสงค์/เฉพาะกิจ</t>
  </si>
  <si>
    <t xml:space="preserve">      (บาท)</t>
  </si>
  <si>
    <t>รายงานรับ-จ่ายเงิน</t>
  </si>
  <si>
    <r>
      <t xml:space="preserve">รายรับ </t>
    </r>
    <r>
      <rPr>
        <b/>
        <sz val="10"/>
        <rFont val="TH SarabunPSK"/>
        <family val="2"/>
      </rPr>
      <t xml:space="preserve"> (หมายเหตุ 1)</t>
    </r>
  </si>
  <si>
    <r>
      <t xml:space="preserve">รายจ่าย  </t>
    </r>
    <r>
      <rPr>
        <sz val="10"/>
        <rFont val="TH SarabunPSK"/>
        <family val="2"/>
      </rPr>
      <t xml:space="preserve">    </t>
    </r>
  </si>
  <si>
    <t>อุดหนุทั่วไป/</t>
  </si>
  <si>
    <t>ทั่วไประบุวัตถุประสงค์/</t>
  </si>
  <si>
    <t xml:space="preserve">              .................................                                                         .................................</t>
  </si>
  <si>
    <t xml:space="preserve">                ผู้อำนวยการกองคลัง</t>
  </si>
  <si>
    <t>รายได้จากรัฐบาลค้างรับ</t>
  </si>
  <si>
    <t>ลูกหนี้เงินสะสม</t>
  </si>
  <si>
    <t>เจ้าหนี้เงินสะสม</t>
  </si>
  <si>
    <t xml:space="preserve">              (นางจุฑามาส รื่นพานิช)</t>
  </si>
  <si>
    <t>ลูกหนี้เงินยืม</t>
  </si>
  <si>
    <t>เงินรับฝากโครงการเศรษฐกิจชุมชน</t>
  </si>
  <si>
    <t>ทั่วไประบุวัตถุประสงค์-การจัดการศึกษาภาคบังคับ(ค่าเช่าบ้าน)</t>
  </si>
  <si>
    <t>จำนวนเงิน</t>
  </si>
  <si>
    <t>เดือนนี้ที่เกิดขึ้นจริง</t>
  </si>
  <si>
    <t>ทั่วไประบุวัตถุประสงค์-การจัดการศึกษาภาคบังคับ(ช่วยการศึกษาบุตร)</t>
  </si>
  <si>
    <t>เจ้าพนักงานการเงินและบัญชีชำนาญงาน รักษาราชการแทน</t>
  </si>
  <si>
    <t xml:space="preserve">               (นางปนิตา พรอนันต์ไพศาล)</t>
  </si>
  <si>
    <t xml:space="preserve">              (นางสาววรัชยา ชุนสอน)                                                     (นายปราโมทย์  เพชรรัตน์)</t>
  </si>
  <si>
    <t xml:space="preserve">          ปลัดองค์การบริหารส่วนตำบล                              </t>
  </si>
  <si>
    <t xml:space="preserve">           ปลัดอบต. รักษาราชการแทน                                          นายกองค์การบริหารส่วนตำบลปากแพรก</t>
  </si>
  <si>
    <t>เงินเดือน (ฝ่ายการเมือง)</t>
  </si>
  <si>
    <t>เงินเดือน (ฝ่ายประจำ)</t>
  </si>
  <si>
    <t>ทั่วไประบุวัตถุประสงค์-การจัดการศึกษาภาคบังคับ(เงินบำเหน็จบำนาญ)</t>
  </si>
  <si>
    <t>41100000</t>
  </si>
  <si>
    <t>41200000</t>
  </si>
  <si>
    <t>41300000</t>
  </si>
  <si>
    <t>41500000</t>
  </si>
  <si>
    <t>42100000</t>
  </si>
  <si>
    <t>43100000</t>
  </si>
  <si>
    <t>51100000</t>
  </si>
  <si>
    <t>52100000</t>
  </si>
  <si>
    <t>52200000</t>
  </si>
  <si>
    <t>53100000</t>
  </si>
  <si>
    <t>53200000</t>
  </si>
  <si>
    <t>53300000</t>
  </si>
  <si>
    <t>53400000</t>
  </si>
  <si>
    <t>56100000</t>
  </si>
  <si>
    <t>54100000</t>
  </si>
  <si>
    <t>รายจ่ายอื่น</t>
  </si>
  <si>
    <t>สินทรัพย์หมุนเวียนอื่น</t>
  </si>
  <si>
    <t xml:space="preserve">                .................................                                       .................................</t>
  </si>
  <si>
    <t>ปีงบประมาณ 2561 ประจำเดือนตุลาคม 2561</t>
  </si>
  <si>
    <t>รหัส</t>
  </si>
  <si>
    <t>บัญชี</t>
  </si>
  <si>
    <t>อุดหนุนทั่วไประบุวัตถุประสงค์/อุดหนุนเฉพาะกิจ</t>
  </si>
  <si>
    <t xml:space="preserve">               (นายสุทัศนะ  จินวงศ์)                                     (นายปราโมทย์  เพชรรัตน์)</t>
  </si>
  <si>
    <t xml:space="preserve">                     </t>
  </si>
  <si>
    <t xml:space="preserve">      ปลัดองค์การบริหารส่วนตำบลปากแพรก                    นายกองค์การบริหารส่วนตำบลปากแพรก</t>
  </si>
  <si>
    <t>ปีงบประมาณ 2561 ประจำเดือนพฤศจิกายน 2561</t>
  </si>
  <si>
    <t>ปีงบประมาณ 2561 ประจำเดือนธันวาคม 2561</t>
  </si>
  <si>
    <t>ปีงบประมาณ 2561 ประจำเดือนมกราคม 2562</t>
  </si>
  <si>
    <t>เฉพาะกิจ-โครงการพัฒนาคุณภาพการศึกษาฯ</t>
  </si>
  <si>
    <t>ปีงบประมาณ 2561 ประจำเดือนกุมภาพันธ์ 2562</t>
  </si>
  <si>
    <t>ปีงบประมาณ 2561 ประจำเดือนมีนาคม 2562</t>
  </si>
  <si>
    <t>เฉพาะกิจ-โครงการก่อสร้างถ.ลาดยางแอสฟัสท์ติกคอนกรีตสายป้ายลูกหมีฯ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</si>
</sst>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"/>
    <numFmt numFmtId="202" formatCode="_-* #,##0.000_-;\-* #,##0.000_-;_-* &quot;-&quot;??_-;_-@_-"/>
    <numFmt numFmtId="203" formatCode="_-* #,##0.0000_-;\-* #,##0.0000_-;_-* &quot;-&quot;??_-;_-@_-"/>
    <numFmt numFmtId="204" formatCode="_-* #,##0.00000_-;\-* #,##0.00000_-;_-* &quot;-&quot;??_-;_-@_-"/>
    <numFmt numFmtId="205" formatCode="_-* #,##0.000000_-;\-* #,##0.000000_-;_-* &quot;-&quot;??_-;_-@_-"/>
    <numFmt numFmtId="206" formatCode="_-* #,##0.0000000_-;\-* #,##0.0000000_-;_-* &quot;-&quot;??_-;_-@_-"/>
    <numFmt numFmtId="207" formatCode="#,##0\ &quot;DM&quot;;[Red]\-#,##0\ &quot;DM&quot;"/>
    <numFmt numFmtId="208" formatCode="#,##0.00\ &quot;DM&quot;;[Red]\-#,##0.00\ &quot;DM&quot;"/>
    <numFmt numFmtId="209" formatCode="วว\ ดดด\ ปปปป"/>
    <numFmt numFmtId="210" formatCode="0;[Red]0"/>
    <numFmt numFmtId="211" formatCode="0.0;[Red]0.0"/>
    <numFmt numFmtId="212" formatCode="#,##0.0"/>
    <numFmt numFmtId="213" formatCode="[$-409]dddd\,\ mmmm\ dd\,\ yyyy"/>
    <numFmt numFmtId="214" formatCode="\(#,###.##\)"/>
    <numFmt numFmtId="215" formatCode="\(#,###\)"/>
    <numFmt numFmtId="216" formatCode="\(#,###.0\)"/>
    <numFmt numFmtId="217" formatCode="\(#,###.00\)"/>
    <numFmt numFmtId="218" formatCode="#,##0.00_ ;\-#,##0.00\ "/>
    <numFmt numFmtId="219" formatCode="_(* #,##0.0_);_(* \(#,##0.0\);_(* &quot;-&quot;_);_(@_)"/>
    <numFmt numFmtId="220" formatCode="_(* #,##0.00_);_(* \(#,##0.00\);_(* &quot;-&quot;_);_(@_)"/>
    <numFmt numFmtId="221" formatCode="_(#,##0.00_);_(* \(#,##0.00\);_(* &quot;-&quot;??_);_(_)"/>
  </numFmts>
  <fonts count="49">
    <font>
      <sz val="14"/>
      <name val="Cordia New"/>
      <family val="0"/>
    </font>
    <font>
      <u val="single"/>
      <sz val="14"/>
      <color indexed="12"/>
      <name val="Cordia New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2"/>
      <name val="Browallia New"/>
      <family val="2"/>
    </font>
    <font>
      <sz val="12"/>
      <name val="Browallia New"/>
      <family val="2"/>
    </font>
    <font>
      <sz val="10"/>
      <name val="TH SarabunPSK"/>
      <family val="2"/>
    </font>
    <font>
      <b/>
      <sz val="10"/>
      <name val="TH SarabunPSK"/>
      <family val="2"/>
    </font>
    <font>
      <b/>
      <u val="single"/>
      <sz val="10"/>
      <name val="TH SarabunPSK"/>
      <family val="2"/>
    </font>
    <font>
      <sz val="10"/>
      <name val="Browallia New"/>
      <family val="2"/>
    </font>
    <font>
      <sz val="9.5"/>
      <name val="TH SarabunPSK"/>
      <family val="2"/>
    </font>
    <font>
      <b/>
      <sz val="8"/>
      <name val="TH SarabunPSK"/>
      <family val="2"/>
    </font>
    <font>
      <sz val="9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Alignment="1">
      <alignment/>
    </xf>
    <xf numFmtId="43" fontId="3" fillId="0" borderId="0" xfId="33" applyFont="1" applyAlignment="1">
      <alignment/>
    </xf>
    <xf numFmtId="43" fontId="3" fillId="0" borderId="0" xfId="0" applyNumberFormat="1" applyFont="1" applyAlignment="1">
      <alignment/>
    </xf>
    <xf numFmtId="43" fontId="48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43" fontId="3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43" fontId="3" fillId="0" borderId="10" xfId="33" applyNumberFormat="1" applyFont="1" applyBorder="1" applyAlignment="1">
      <alignment/>
    </xf>
    <xf numFmtId="43" fontId="3" fillId="0" borderId="0" xfId="33" applyNumberFormat="1" applyFont="1" applyBorder="1" applyAlignment="1">
      <alignment/>
    </xf>
    <xf numFmtId="43" fontId="3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43" fontId="5" fillId="0" borderId="0" xfId="33" applyFont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200" fontId="5" fillId="0" borderId="0" xfId="33" applyNumberFormat="1" applyFont="1" applyBorder="1" applyAlignment="1">
      <alignment horizontal="right"/>
    </xf>
    <xf numFmtId="43" fontId="5" fillId="0" borderId="0" xfId="33" applyFont="1" applyAlignment="1">
      <alignment horizontal="left"/>
    </xf>
    <xf numFmtId="43" fontId="5" fillId="0" borderId="0" xfId="33" applyFont="1" applyAlignment="1">
      <alignment horizontal="center"/>
    </xf>
    <xf numFmtId="0" fontId="5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/>
    </xf>
    <xf numFmtId="200" fontId="6" fillId="0" borderId="11" xfId="33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/>
    </xf>
    <xf numFmtId="43" fontId="7" fillId="0" borderId="16" xfId="33" applyNumberFormat="1" applyFont="1" applyBorder="1" applyAlignment="1">
      <alignment horizontal="center"/>
    </xf>
    <xf numFmtId="200" fontId="6" fillId="0" borderId="10" xfId="33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43" fontId="6" fillId="0" borderId="17" xfId="33" applyNumberFormat="1" applyFont="1" applyBorder="1" applyAlignment="1">
      <alignment horizontal="center"/>
    </xf>
    <xf numFmtId="200" fontId="6" fillId="0" borderId="11" xfId="0" applyNumberFormat="1" applyFont="1" applyBorder="1" applyAlignment="1">
      <alignment horizontal="center"/>
    </xf>
    <xf numFmtId="43" fontId="6" fillId="0" borderId="10" xfId="33" applyNumberFormat="1" applyFont="1" applyBorder="1" applyAlignment="1">
      <alignment horizontal="center"/>
    </xf>
    <xf numFmtId="0" fontId="6" fillId="0" borderId="11" xfId="0" applyFont="1" applyBorder="1" applyAlignment="1" quotePrefix="1">
      <alignment horizontal="center"/>
    </xf>
    <xf numFmtId="200" fontId="7" fillId="0" borderId="11" xfId="33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3" fontId="7" fillId="0" borderId="10" xfId="33" applyNumberFormat="1" applyFont="1" applyBorder="1" applyAlignment="1">
      <alignment horizontal="center"/>
    </xf>
    <xf numFmtId="43" fontId="7" fillId="0" borderId="13" xfId="33" applyNumberFormat="1" applyFont="1" applyBorder="1" applyAlignment="1">
      <alignment horizontal="center"/>
    </xf>
    <xf numFmtId="43" fontId="6" fillId="0" borderId="11" xfId="33" applyNumberFormat="1" applyFont="1" applyBorder="1" applyAlignment="1">
      <alignment horizontal="right"/>
    </xf>
    <xf numFmtId="43" fontId="6" fillId="0" borderId="11" xfId="33" applyNumberFormat="1" applyFont="1" applyBorder="1" applyAlignment="1">
      <alignment/>
    </xf>
    <xf numFmtId="43" fontId="7" fillId="0" borderId="18" xfId="33" applyNumberFormat="1" applyFont="1" applyBorder="1" applyAlignment="1">
      <alignment horizontal="right"/>
    </xf>
    <xf numFmtId="43" fontId="6" fillId="0" borderId="19" xfId="33" applyNumberFormat="1" applyFont="1" applyBorder="1" applyAlignment="1">
      <alignment horizontal="right"/>
    </xf>
    <xf numFmtId="43" fontId="7" fillId="0" borderId="20" xfId="0" applyNumberFormat="1" applyFont="1" applyBorder="1" applyAlignment="1">
      <alignment horizontal="right"/>
    </xf>
    <xf numFmtId="0" fontId="6" fillId="0" borderId="0" xfId="0" applyFont="1" applyBorder="1" applyAlignment="1" quotePrefix="1">
      <alignment horizontal="center"/>
    </xf>
    <xf numFmtId="43" fontId="7" fillId="0" borderId="18" xfId="0" applyNumberFormat="1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43" fontId="7" fillId="0" borderId="21" xfId="0" applyNumberFormat="1" applyFont="1" applyBorder="1" applyAlignment="1">
      <alignment horizontal="center"/>
    </xf>
    <xf numFmtId="43" fontId="7" fillId="0" borderId="18" xfId="33" applyNumberFormat="1" applyFont="1" applyBorder="1" applyAlignment="1">
      <alignment horizontal="center"/>
    </xf>
    <xf numFmtId="43" fontId="7" fillId="0" borderId="18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2" xfId="0" applyFont="1" applyBorder="1" applyAlignment="1" quotePrefix="1">
      <alignment horizontal="center"/>
    </xf>
    <xf numFmtId="0" fontId="6" fillId="0" borderId="23" xfId="0" applyFont="1" applyBorder="1" applyAlignment="1">
      <alignment/>
    </xf>
    <xf numFmtId="4" fontId="7" fillId="0" borderId="15" xfId="0" applyNumberFormat="1" applyFont="1" applyBorder="1" applyAlignment="1">
      <alignment/>
    </xf>
    <xf numFmtId="43" fontId="6" fillId="0" borderId="11" xfId="0" applyNumberFormat="1" applyFont="1" applyBorder="1" applyAlignment="1">
      <alignment horizontal="center"/>
    </xf>
    <xf numFmtId="43" fontId="7" fillId="0" borderId="14" xfId="0" applyNumberFormat="1" applyFont="1" applyBorder="1" applyAlignment="1" quotePrefix="1">
      <alignment horizontal="center"/>
    </xf>
    <xf numFmtId="200" fontId="7" fillId="0" borderId="0" xfId="33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 quotePrefix="1">
      <alignment horizontal="center"/>
    </xf>
    <xf numFmtId="200" fontId="6" fillId="0" borderId="0" xfId="33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200" fontId="6" fillId="0" borderId="0" xfId="33" applyNumberFormat="1" applyFont="1" applyBorder="1" applyAlignment="1">
      <alignment horizontal="right"/>
    </xf>
    <xf numFmtId="200" fontId="6" fillId="0" borderId="0" xfId="0" applyNumberFormat="1" applyFont="1" applyBorder="1" applyAlignment="1">
      <alignment horizontal="center"/>
    </xf>
    <xf numFmtId="43" fontId="6" fillId="0" borderId="11" xfId="33" applyFont="1" applyBorder="1" applyAlignment="1">
      <alignment horizontal="center"/>
    </xf>
    <xf numFmtId="43" fontId="7" fillId="0" borderId="20" xfId="0" applyNumberFormat="1" applyFont="1" applyBorder="1" applyAlignment="1">
      <alignment/>
    </xf>
    <xf numFmtId="43" fontId="6" fillId="0" borderId="0" xfId="33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200" fontId="6" fillId="0" borderId="19" xfId="33" applyNumberFormat="1" applyFont="1" applyBorder="1" applyAlignment="1">
      <alignment/>
    </xf>
    <xf numFmtId="200" fontId="7" fillId="0" borderId="11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200" fontId="9" fillId="0" borderId="0" xfId="33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43" fontId="7" fillId="0" borderId="14" xfId="0" applyNumberFormat="1" applyFont="1" applyBorder="1" applyAlignment="1">
      <alignment horizontal="center"/>
    </xf>
    <xf numFmtId="43" fontId="7" fillId="0" borderId="24" xfId="0" applyNumberFormat="1" applyFont="1" applyBorder="1" applyAlignment="1">
      <alignment horizontal="center"/>
    </xf>
    <xf numFmtId="43" fontId="7" fillId="0" borderId="20" xfId="33" applyNumberFormat="1" applyFont="1" applyBorder="1" applyAlignment="1">
      <alignment horizontal="center"/>
    </xf>
    <xf numFmtId="200" fontId="6" fillId="0" borderId="18" xfId="33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0" fontId="6" fillId="0" borderId="18" xfId="0" applyFont="1" applyBorder="1" applyAlignment="1" quotePrefix="1">
      <alignment horizontal="center"/>
    </xf>
    <xf numFmtId="43" fontId="7" fillId="0" borderId="11" xfId="33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6" fillId="0" borderId="18" xfId="0" applyFont="1" applyBorder="1" applyAlignment="1">
      <alignment/>
    </xf>
    <xf numFmtId="43" fontId="7" fillId="0" borderId="22" xfId="33" applyFont="1" applyBorder="1" applyAlignment="1">
      <alignment horizontal="center"/>
    </xf>
    <xf numFmtId="0" fontId="7" fillId="0" borderId="18" xfId="0" applyFont="1" applyBorder="1" applyAlignment="1" quotePrefix="1">
      <alignment horizontal="center"/>
    </xf>
    <xf numFmtId="43" fontId="2" fillId="0" borderId="0" xfId="33" applyFont="1" applyAlignment="1">
      <alignment/>
    </xf>
    <xf numFmtId="0" fontId="2" fillId="0" borderId="0" xfId="0" applyFont="1" applyAlignment="1">
      <alignment/>
    </xf>
    <xf numFmtId="43" fontId="7" fillId="0" borderId="18" xfId="33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43" fontId="6" fillId="0" borderId="13" xfId="33" applyNumberFormat="1" applyFont="1" applyBorder="1" applyAlignment="1">
      <alignment horizontal="center"/>
    </xf>
    <xf numFmtId="43" fontId="6" fillId="0" borderId="11" xfId="33" applyNumberFormat="1" applyFont="1" applyBorder="1" applyAlignment="1">
      <alignment horizontal="center"/>
    </xf>
    <xf numFmtId="43" fontId="6" fillId="0" borderId="11" xfId="0" applyNumberFormat="1" applyFont="1" applyBorder="1" applyAlignment="1">
      <alignment horizontal="right"/>
    </xf>
    <xf numFmtId="43" fontId="6" fillId="0" borderId="11" xfId="33" applyFont="1" applyBorder="1" applyAlignment="1">
      <alignment/>
    </xf>
    <xf numFmtId="43" fontId="7" fillId="0" borderId="18" xfId="33" applyFont="1" applyBorder="1" applyAlignment="1">
      <alignment/>
    </xf>
    <xf numFmtId="0" fontId="11" fillId="0" borderId="11" xfId="0" applyFont="1" applyBorder="1" applyAlignment="1">
      <alignment/>
    </xf>
    <xf numFmtId="200" fontId="3" fillId="0" borderId="0" xfId="33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200" fontId="3" fillId="0" borderId="0" xfId="33" applyNumberFormat="1" applyFont="1" applyBorder="1" applyAlignment="1">
      <alignment horizontal="right"/>
    </xf>
    <xf numFmtId="43" fontId="7" fillId="0" borderId="0" xfId="33" applyFont="1" applyBorder="1" applyAlignment="1">
      <alignment/>
    </xf>
    <xf numFmtId="43" fontId="7" fillId="0" borderId="0" xfId="33" applyNumberFormat="1" applyFont="1" applyBorder="1" applyAlignment="1">
      <alignment/>
    </xf>
    <xf numFmtId="43" fontId="7" fillId="0" borderId="0" xfId="0" applyNumberFormat="1" applyFont="1" applyBorder="1" applyAlignment="1">
      <alignment horizontal="right"/>
    </xf>
    <xf numFmtId="43" fontId="7" fillId="0" borderId="0" xfId="0" applyNumberFormat="1" applyFont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31" xfId="0" applyFont="1" applyBorder="1" applyAlignment="1">
      <alignment/>
    </xf>
    <xf numFmtId="0" fontId="12" fillId="0" borderId="11" xfId="0" applyFont="1" applyBorder="1" applyAlignment="1">
      <alignment/>
    </xf>
    <xf numFmtId="43" fontId="7" fillId="0" borderId="27" xfId="33" applyNumberFormat="1" applyFont="1" applyBorder="1" applyAlignment="1">
      <alignment horizontal="center"/>
    </xf>
    <xf numFmtId="43" fontId="7" fillId="0" borderId="30" xfId="33" applyNumberFormat="1" applyFont="1" applyBorder="1" applyAlignment="1">
      <alignment horizontal="center"/>
    </xf>
    <xf numFmtId="43" fontId="6" fillId="0" borderId="17" xfId="33" applyNumberFormat="1" applyFont="1" applyBorder="1" applyAlignment="1">
      <alignment horizontal="center"/>
    </xf>
    <xf numFmtId="43" fontId="6" fillId="0" borderId="32" xfId="33" applyNumberFormat="1" applyFont="1" applyBorder="1" applyAlignment="1">
      <alignment horizontal="center"/>
    </xf>
    <xf numFmtId="194" fontId="6" fillId="0" borderId="10" xfId="33" applyNumberFormat="1" applyFont="1" applyBorder="1" applyAlignment="1">
      <alignment horizontal="center"/>
    </xf>
    <xf numFmtId="194" fontId="6" fillId="0" borderId="13" xfId="33" applyNumberFormat="1" applyFont="1" applyBorder="1" applyAlignment="1">
      <alignment horizontal="center"/>
    </xf>
    <xf numFmtId="43" fontId="6" fillId="0" borderId="10" xfId="33" applyNumberFormat="1" applyFont="1" applyBorder="1" applyAlignment="1">
      <alignment horizontal="center"/>
    </xf>
    <xf numFmtId="43" fontId="6" fillId="0" borderId="13" xfId="33" applyNumberFormat="1" applyFont="1" applyBorder="1" applyAlignment="1">
      <alignment horizontal="center"/>
    </xf>
    <xf numFmtId="43" fontId="7" fillId="0" borderId="20" xfId="33" applyNumberFormat="1" applyFont="1" applyBorder="1" applyAlignment="1">
      <alignment horizontal="center"/>
    </xf>
    <xf numFmtId="43" fontId="7" fillId="0" borderId="25" xfId="33" applyNumberFormat="1" applyFont="1" applyBorder="1" applyAlignment="1">
      <alignment horizontal="center"/>
    </xf>
    <xf numFmtId="221" fontId="6" fillId="0" borderId="10" xfId="33" applyNumberFormat="1" applyFont="1" applyBorder="1" applyAlignment="1">
      <alignment horizontal="right"/>
    </xf>
    <xf numFmtId="221" fontId="6" fillId="0" borderId="13" xfId="33" applyNumberFormat="1" applyFont="1" applyBorder="1" applyAlignment="1">
      <alignment horizontal="right"/>
    </xf>
    <xf numFmtId="43" fontId="6" fillId="0" borderId="16" xfId="33" applyNumberFormat="1" applyFont="1" applyBorder="1" applyAlignment="1">
      <alignment horizontal="center"/>
    </xf>
    <xf numFmtId="43" fontId="6" fillId="0" borderId="31" xfId="33" applyNumberFormat="1" applyFont="1" applyBorder="1" applyAlignment="1">
      <alignment horizontal="center"/>
    </xf>
    <xf numFmtId="43" fontId="7" fillId="0" borderId="26" xfId="33" applyNumberFormat="1" applyFont="1" applyBorder="1" applyAlignment="1">
      <alignment horizontal="center"/>
    </xf>
    <xf numFmtId="43" fontId="7" fillId="0" borderId="33" xfId="33" applyNumberFormat="1" applyFont="1" applyBorder="1" applyAlignment="1">
      <alignment horizontal="center"/>
    </xf>
    <xf numFmtId="43" fontId="6" fillId="0" borderId="10" xfId="33" applyNumberFormat="1" applyFont="1" applyFill="1" applyBorder="1" applyAlignment="1">
      <alignment horizontal="center"/>
    </xf>
    <xf numFmtId="43" fontId="6" fillId="0" borderId="13" xfId="33" applyNumberFormat="1" applyFont="1" applyFill="1" applyBorder="1" applyAlignment="1">
      <alignment horizontal="center"/>
    </xf>
    <xf numFmtId="43" fontId="7" fillId="0" borderId="20" xfId="0" applyNumberFormat="1" applyFont="1" applyBorder="1" applyAlignment="1">
      <alignment horizontal="center"/>
    </xf>
    <xf numFmtId="43" fontId="7" fillId="0" borderId="25" xfId="0" applyNumberFormat="1" applyFont="1" applyBorder="1" applyAlignment="1">
      <alignment horizontal="center"/>
    </xf>
    <xf numFmtId="200" fontId="6" fillId="0" borderId="28" xfId="33" applyNumberFormat="1" applyFont="1" applyBorder="1" applyAlignment="1">
      <alignment horizontal="center"/>
    </xf>
    <xf numFmtId="43" fontId="6" fillId="0" borderId="10" xfId="33" applyFont="1" applyBorder="1" applyAlignment="1">
      <alignment horizontal="right"/>
    </xf>
    <xf numFmtId="43" fontId="6" fillId="0" borderId="13" xfId="33" applyFont="1" applyBorder="1" applyAlignment="1">
      <alignment horizontal="right"/>
    </xf>
    <xf numFmtId="43" fontId="7" fillId="0" borderId="21" xfId="33" applyNumberFormat="1" applyFont="1" applyBorder="1" applyAlignment="1">
      <alignment horizontal="center"/>
    </xf>
    <xf numFmtId="43" fontId="7" fillId="0" borderId="34" xfId="33" applyNumberFormat="1" applyFont="1" applyBorder="1" applyAlignment="1">
      <alignment horizontal="center"/>
    </xf>
    <xf numFmtId="39" fontId="7" fillId="0" borderId="16" xfId="33" applyNumberFormat="1" applyFont="1" applyFill="1" applyBorder="1" applyAlignment="1">
      <alignment horizontal="center"/>
    </xf>
    <xf numFmtId="39" fontId="7" fillId="0" borderId="31" xfId="33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3" fontId="7" fillId="0" borderId="16" xfId="33" applyNumberFormat="1" applyFont="1" applyBorder="1" applyAlignment="1">
      <alignment horizontal="center"/>
    </xf>
    <xf numFmtId="43" fontId="7" fillId="0" borderId="31" xfId="33" applyNumberFormat="1" applyFont="1" applyBorder="1" applyAlignment="1">
      <alignment horizontal="center"/>
    </xf>
    <xf numFmtId="43" fontId="7" fillId="0" borderId="10" xfId="33" applyNumberFormat="1" applyFont="1" applyBorder="1" applyAlignment="1">
      <alignment horizontal="center"/>
    </xf>
    <xf numFmtId="43" fontId="7" fillId="0" borderId="13" xfId="33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7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5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586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7"/>
  <sheetViews>
    <sheetView view="pageBreakPreview" zoomScale="140" zoomScaleSheetLayoutView="140" workbookViewId="0" topLeftCell="A59">
      <selection activeCell="E68" sqref="E68"/>
    </sheetView>
  </sheetViews>
  <sheetFormatPr defaultColWidth="9.140625" defaultRowHeight="21.75"/>
  <cols>
    <col min="1" max="3" width="11.28125" style="11" customWidth="1"/>
    <col min="4" max="4" width="15.421875" style="11" customWidth="1"/>
    <col min="5" max="5" width="25.8515625" style="11" customWidth="1"/>
    <col min="6" max="6" width="10.00390625" style="11" customWidth="1"/>
    <col min="7" max="7" width="4.28125" style="11" customWidth="1"/>
    <col min="8" max="8" width="11.140625" style="11" customWidth="1"/>
    <col min="9" max="9" width="14.140625" style="11" customWidth="1"/>
    <col min="10" max="10" width="1.8515625" style="11" customWidth="1"/>
    <col min="11" max="11" width="13.57421875" style="11" customWidth="1"/>
    <col min="12" max="12" width="13.7109375" style="11" customWidth="1"/>
    <col min="13" max="15" width="14.28125" style="11" customWidth="1"/>
    <col min="16" max="16" width="14.28125" style="12" customWidth="1"/>
    <col min="17" max="16384" width="9.140625" style="11" customWidth="1"/>
  </cols>
  <sheetData>
    <row r="1" spans="1:16" s="1" customFormat="1" ht="17.25" customHeight="1">
      <c r="A1" s="168" t="s">
        <v>35</v>
      </c>
      <c r="B1" s="168"/>
      <c r="C1" s="168"/>
      <c r="D1" s="168"/>
      <c r="E1" s="168"/>
      <c r="F1" s="168"/>
      <c r="G1" s="168"/>
      <c r="H1" s="168"/>
      <c r="P1" s="2"/>
    </row>
    <row r="2" spans="1:16" s="1" customFormat="1" ht="17.25" customHeight="1">
      <c r="A2" s="168" t="s">
        <v>54</v>
      </c>
      <c r="B2" s="168"/>
      <c r="C2" s="168"/>
      <c r="D2" s="168"/>
      <c r="E2" s="168"/>
      <c r="F2" s="168"/>
      <c r="G2" s="168"/>
      <c r="H2" s="168"/>
      <c r="P2" s="2"/>
    </row>
    <row r="3" spans="1:16" s="1" customFormat="1" ht="17.25" customHeight="1" thickBot="1">
      <c r="A3" s="169" t="s">
        <v>97</v>
      </c>
      <c r="B3" s="169"/>
      <c r="C3" s="169"/>
      <c r="D3" s="169"/>
      <c r="E3" s="169"/>
      <c r="F3" s="169"/>
      <c r="G3" s="169"/>
      <c r="H3" s="169"/>
      <c r="P3" s="2"/>
    </row>
    <row r="4" spans="1:16" s="1" customFormat="1" ht="15.75" customHeight="1" thickTop="1">
      <c r="A4" s="170" t="s">
        <v>46</v>
      </c>
      <c r="B4" s="171"/>
      <c r="C4" s="171"/>
      <c r="D4" s="172"/>
      <c r="E4" s="173" t="s">
        <v>18</v>
      </c>
      <c r="F4" s="128" t="s">
        <v>16</v>
      </c>
      <c r="G4" s="175"/>
      <c r="H4" s="176"/>
      <c r="P4" s="2"/>
    </row>
    <row r="5" spans="1:16" s="1" customFormat="1" ht="15.75" customHeight="1">
      <c r="A5" s="129" t="s">
        <v>32</v>
      </c>
      <c r="B5" s="116" t="s">
        <v>51</v>
      </c>
      <c r="C5" s="116" t="s">
        <v>47</v>
      </c>
      <c r="D5" s="41" t="s">
        <v>48</v>
      </c>
      <c r="E5" s="174"/>
      <c r="F5" s="42" t="s">
        <v>17</v>
      </c>
      <c r="G5" s="177" t="s">
        <v>68</v>
      </c>
      <c r="H5" s="178"/>
      <c r="P5" s="2"/>
    </row>
    <row r="6" spans="1:16" s="1" customFormat="1" ht="15.75" customHeight="1">
      <c r="A6" s="130" t="s">
        <v>53</v>
      </c>
      <c r="B6" s="42" t="s">
        <v>52</v>
      </c>
      <c r="C6" s="42" t="s">
        <v>49</v>
      </c>
      <c r="D6" s="41" t="s">
        <v>49</v>
      </c>
      <c r="E6" s="174"/>
      <c r="F6" s="130"/>
      <c r="G6" s="177" t="s">
        <v>69</v>
      </c>
      <c r="H6" s="178"/>
      <c r="P6" s="2"/>
    </row>
    <row r="7" spans="1:16" s="1" customFormat="1" ht="15.75" customHeight="1">
      <c r="A7" s="131"/>
      <c r="B7" s="122" t="s">
        <v>49</v>
      </c>
      <c r="C7" s="122"/>
      <c r="D7" s="123"/>
      <c r="E7" s="132"/>
      <c r="F7" s="131"/>
      <c r="G7" s="123"/>
      <c r="H7" s="133"/>
      <c r="P7" s="2"/>
    </row>
    <row r="8" spans="1:16" s="1" customFormat="1" ht="15.75" customHeight="1" thickBot="1">
      <c r="A8" s="30"/>
      <c r="B8" s="31"/>
      <c r="C8" s="32"/>
      <c r="D8" s="33">
        <v>49570735.76999998</v>
      </c>
      <c r="E8" s="28"/>
      <c r="F8" s="28"/>
      <c r="G8" s="135">
        <v>49570735.76999998</v>
      </c>
      <c r="H8" s="136"/>
      <c r="P8" s="2"/>
    </row>
    <row r="9" spans="1:16" s="1" customFormat="1" ht="15.75" customHeight="1" thickTop="1">
      <c r="A9" s="30"/>
      <c r="B9" s="26"/>
      <c r="C9" s="24"/>
      <c r="D9" s="34"/>
      <c r="E9" s="35" t="s">
        <v>55</v>
      </c>
      <c r="F9" s="28"/>
      <c r="G9" s="137"/>
      <c r="H9" s="138"/>
      <c r="I9" s="1" t="s">
        <v>31</v>
      </c>
      <c r="K9" s="1" t="s">
        <v>26</v>
      </c>
      <c r="P9" s="2"/>
    </row>
    <row r="10" spans="1:16" s="1" customFormat="1" ht="15.75" customHeight="1">
      <c r="A10" s="99">
        <v>806000</v>
      </c>
      <c r="B10" s="72">
        <v>0</v>
      </c>
      <c r="C10" s="37">
        <f aca="true" t="shared" si="0" ref="C10:C15">SUM(A10:B10)</f>
        <v>806000</v>
      </c>
      <c r="D10" s="38">
        <f aca="true" t="shared" si="1" ref="D10:D15">K10</f>
        <v>1137.79</v>
      </c>
      <c r="E10" s="24" t="s">
        <v>4</v>
      </c>
      <c r="F10" s="39" t="s">
        <v>79</v>
      </c>
      <c r="G10" s="139">
        <v>1137.79</v>
      </c>
      <c r="H10" s="140"/>
      <c r="I10" s="3"/>
      <c r="J10" s="3"/>
      <c r="K10" s="2">
        <f aca="true" t="shared" si="2" ref="K10:K15">SUM(G10+I10)</f>
        <v>1137.79</v>
      </c>
      <c r="L10" s="2"/>
      <c r="P10" s="2"/>
    </row>
    <row r="11" spans="1:16" s="1" customFormat="1" ht="15.75" customHeight="1">
      <c r="A11" s="99">
        <v>414000</v>
      </c>
      <c r="B11" s="72">
        <v>0</v>
      </c>
      <c r="C11" s="37">
        <f t="shared" si="0"/>
        <v>414000</v>
      </c>
      <c r="D11" s="38">
        <f t="shared" si="1"/>
        <v>22866.4</v>
      </c>
      <c r="E11" s="24" t="s">
        <v>5</v>
      </c>
      <c r="F11" s="39" t="s">
        <v>80</v>
      </c>
      <c r="G11" s="141">
        <v>22866.4</v>
      </c>
      <c r="H11" s="142"/>
      <c r="I11" s="3"/>
      <c r="J11" s="3"/>
      <c r="K11" s="2">
        <f t="shared" si="2"/>
        <v>22866.4</v>
      </c>
      <c r="L11" s="2"/>
      <c r="P11" s="2"/>
    </row>
    <row r="12" spans="1:16" s="1" customFormat="1" ht="15.75" customHeight="1">
      <c r="A12" s="99">
        <v>1900000</v>
      </c>
      <c r="B12" s="72">
        <v>0</v>
      </c>
      <c r="C12" s="37">
        <f t="shared" si="0"/>
        <v>1900000</v>
      </c>
      <c r="D12" s="38">
        <f t="shared" si="1"/>
        <v>116439</v>
      </c>
      <c r="E12" s="24" t="s">
        <v>6</v>
      </c>
      <c r="F12" s="39" t="s">
        <v>81</v>
      </c>
      <c r="G12" s="141">
        <v>116439</v>
      </c>
      <c r="H12" s="142"/>
      <c r="I12" s="3"/>
      <c r="J12" s="3"/>
      <c r="K12" s="2">
        <f t="shared" si="2"/>
        <v>116439</v>
      </c>
      <c r="L12" s="2"/>
      <c r="P12" s="2"/>
    </row>
    <row r="13" spans="1:16" s="1" customFormat="1" ht="15.75" customHeight="1">
      <c r="A13" s="99">
        <v>820000</v>
      </c>
      <c r="B13" s="72">
        <v>0</v>
      </c>
      <c r="C13" s="37">
        <f t="shared" si="0"/>
        <v>820000</v>
      </c>
      <c r="D13" s="38">
        <f t="shared" si="1"/>
        <v>44000</v>
      </c>
      <c r="E13" s="24" t="s">
        <v>7</v>
      </c>
      <c r="F13" s="39" t="s">
        <v>82</v>
      </c>
      <c r="G13" s="141">
        <v>44000</v>
      </c>
      <c r="H13" s="142"/>
      <c r="I13" s="3"/>
      <c r="J13" s="3"/>
      <c r="K13" s="2">
        <f t="shared" si="2"/>
        <v>44000</v>
      </c>
      <c r="L13" s="2"/>
      <c r="P13" s="2"/>
    </row>
    <row r="14" spans="1:16" s="1" customFormat="1" ht="15.75" customHeight="1">
      <c r="A14" s="99">
        <v>32060000</v>
      </c>
      <c r="B14" s="72">
        <v>0</v>
      </c>
      <c r="C14" s="37">
        <f>SUM(A14:B14)</f>
        <v>32060000</v>
      </c>
      <c r="D14" s="38">
        <f t="shared" si="1"/>
        <v>2456858.63</v>
      </c>
      <c r="E14" s="24" t="s">
        <v>19</v>
      </c>
      <c r="F14" s="39" t="s">
        <v>83</v>
      </c>
      <c r="G14" s="141">
        <v>2456858.63</v>
      </c>
      <c r="H14" s="142"/>
      <c r="I14" s="3"/>
      <c r="J14" s="3"/>
      <c r="K14" s="2">
        <f t="shared" si="2"/>
        <v>2456858.63</v>
      </c>
      <c r="L14" s="2"/>
      <c r="P14" s="2"/>
    </row>
    <row r="15" spans="1:16" s="1" customFormat="1" ht="15.75" customHeight="1">
      <c r="A15" s="99">
        <v>46000000</v>
      </c>
      <c r="B15" s="72">
        <v>0</v>
      </c>
      <c r="C15" s="37">
        <f t="shared" si="0"/>
        <v>46000000</v>
      </c>
      <c r="D15" s="38">
        <f t="shared" si="1"/>
        <v>12738888</v>
      </c>
      <c r="E15" s="24" t="s">
        <v>40</v>
      </c>
      <c r="F15" s="39" t="s">
        <v>84</v>
      </c>
      <c r="G15" s="141">
        <v>12738888</v>
      </c>
      <c r="H15" s="142"/>
      <c r="I15" s="3"/>
      <c r="J15" s="3"/>
      <c r="K15" s="2">
        <f t="shared" si="2"/>
        <v>12738888</v>
      </c>
      <c r="L15" s="2"/>
      <c r="P15" s="2"/>
    </row>
    <row r="16" spans="1:16" s="1" customFormat="1" ht="15.75" customHeight="1">
      <c r="A16" s="100">
        <f>SUM(A10:A15)</f>
        <v>82000000</v>
      </c>
      <c r="B16" s="88"/>
      <c r="C16" s="55">
        <f>SUM(C10:C15)</f>
        <v>82000000</v>
      </c>
      <c r="D16" s="83">
        <f>SUM(D10:D15)</f>
        <v>15380189.82</v>
      </c>
      <c r="E16" s="85" t="s">
        <v>47</v>
      </c>
      <c r="F16" s="86"/>
      <c r="G16" s="143">
        <f>SUM(G10:G15)</f>
        <v>15380189.82</v>
      </c>
      <c r="H16" s="144"/>
      <c r="I16" s="4">
        <f>SUM(I10:I15)</f>
        <v>0</v>
      </c>
      <c r="K16" s="5">
        <f>SUM(K10:K15)</f>
        <v>15380189.82</v>
      </c>
      <c r="L16" s="5"/>
      <c r="P16" s="2"/>
    </row>
    <row r="17" spans="1:16" s="1" customFormat="1" ht="15.75" customHeight="1">
      <c r="A17" s="40"/>
      <c r="B17" s="41"/>
      <c r="C17" s="42"/>
      <c r="D17" s="87"/>
      <c r="E17" s="101" t="s">
        <v>100</v>
      </c>
      <c r="F17" s="39">
        <v>44100000</v>
      </c>
      <c r="G17" s="43"/>
      <c r="H17" s="44"/>
      <c r="I17" s="4"/>
      <c r="K17" s="5"/>
      <c r="L17" s="5"/>
      <c r="P17" s="2"/>
    </row>
    <row r="18" spans="1:16" s="1" customFormat="1" ht="15.75" customHeight="1">
      <c r="A18" s="30"/>
      <c r="B18" s="72">
        <v>12000</v>
      </c>
      <c r="C18" s="60">
        <f>SUM(B18)</f>
        <v>12000</v>
      </c>
      <c r="D18" s="45">
        <f>K18</f>
        <v>12000</v>
      </c>
      <c r="E18" s="24" t="s">
        <v>67</v>
      </c>
      <c r="F18" s="39"/>
      <c r="G18" s="145">
        <v>12000</v>
      </c>
      <c r="H18" s="146"/>
      <c r="I18" s="3"/>
      <c r="J18" s="3"/>
      <c r="K18" s="2">
        <f aca="true" t="shared" si="3" ref="K18:K50">SUM(G18+I18)</f>
        <v>12000</v>
      </c>
      <c r="L18" s="2"/>
      <c r="P18" s="2"/>
    </row>
    <row r="19" spans="1:16" s="1" customFormat="1" ht="15.75" customHeight="1">
      <c r="A19" s="30"/>
      <c r="B19" s="72">
        <v>0</v>
      </c>
      <c r="C19" s="60">
        <f>SUM(B19)</f>
        <v>0</v>
      </c>
      <c r="D19" s="45">
        <f>K19</f>
        <v>0</v>
      </c>
      <c r="E19" s="24" t="s">
        <v>70</v>
      </c>
      <c r="F19" s="39"/>
      <c r="G19" s="145">
        <v>0</v>
      </c>
      <c r="H19" s="146"/>
      <c r="I19" s="3">
        <v>0</v>
      </c>
      <c r="J19" s="3">
        <v>0</v>
      </c>
      <c r="K19" s="2">
        <f t="shared" si="3"/>
        <v>0</v>
      </c>
      <c r="L19" s="2"/>
      <c r="P19" s="2"/>
    </row>
    <row r="20" spans="1:16" s="1" customFormat="1" ht="15.75" customHeight="1">
      <c r="A20" s="30"/>
      <c r="B20" s="72">
        <v>85932</v>
      </c>
      <c r="C20" s="60">
        <f>SUM(B20)</f>
        <v>85932</v>
      </c>
      <c r="D20" s="45">
        <f>K20</f>
        <v>85932</v>
      </c>
      <c r="E20" s="24" t="s">
        <v>78</v>
      </c>
      <c r="F20" s="39"/>
      <c r="G20" s="141">
        <v>85932</v>
      </c>
      <c r="H20" s="142"/>
      <c r="I20" s="3"/>
      <c r="J20" s="3"/>
      <c r="K20" s="2">
        <f t="shared" si="3"/>
        <v>85932</v>
      </c>
      <c r="L20" s="2"/>
      <c r="P20" s="2"/>
    </row>
    <row r="21" spans="1:16" s="1" customFormat="1" ht="15.75" customHeight="1">
      <c r="A21" s="30"/>
      <c r="B21" s="72">
        <v>0</v>
      </c>
      <c r="C21" s="60">
        <f>SUM(B21)</f>
        <v>0</v>
      </c>
      <c r="D21" s="45">
        <f>K21</f>
        <v>0</v>
      </c>
      <c r="E21" s="24"/>
      <c r="F21" s="39"/>
      <c r="G21" s="141">
        <v>0</v>
      </c>
      <c r="H21" s="142"/>
      <c r="I21" s="3">
        <v>0</v>
      </c>
      <c r="J21" s="3"/>
      <c r="K21" s="2">
        <f t="shared" si="3"/>
        <v>0</v>
      </c>
      <c r="L21" s="2"/>
      <c r="P21" s="2"/>
    </row>
    <row r="22" spans="1:16" s="1" customFormat="1" ht="15.75" customHeight="1">
      <c r="A22" s="30"/>
      <c r="B22" s="72">
        <v>0</v>
      </c>
      <c r="C22" s="60">
        <f>SUM(B22)</f>
        <v>0</v>
      </c>
      <c r="D22" s="45">
        <f>K22</f>
        <v>0</v>
      </c>
      <c r="E22" s="24"/>
      <c r="F22" s="39"/>
      <c r="G22" s="141">
        <v>0</v>
      </c>
      <c r="H22" s="142"/>
      <c r="I22" s="3">
        <v>0</v>
      </c>
      <c r="J22" s="3"/>
      <c r="K22" s="2">
        <f t="shared" si="3"/>
        <v>0</v>
      </c>
      <c r="L22" s="2"/>
      <c r="P22" s="2"/>
    </row>
    <row r="23" spans="1:16" s="1" customFormat="1" ht="15.75" customHeight="1">
      <c r="A23" s="30"/>
      <c r="B23" s="72"/>
      <c r="C23" s="60"/>
      <c r="D23" s="45"/>
      <c r="E23" s="24"/>
      <c r="F23" s="39"/>
      <c r="G23" s="141"/>
      <c r="H23" s="142"/>
      <c r="I23" s="3">
        <v>0</v>
      </c>
      <c r="J23" s="3"/>
      <c r="K23" s="2">
        <f t="shared" si="3"/>
        <v>0</v>
      </c>
      <c r="L23" s="2"/>
      <c r="P23" s="2"/>
    </row>
    <row r="24" spans="1:16" s="1" customFormat="1" ht="15.75" customHeight="1">
      <c r="A24" s="30"/>
      <c r="B24" s="72"/>
      <c r="C24" s="60"/>
      <c r="D24" s="45"/>
      <c r="E24" s="24"/>
      <c r="F24" s="39"/>
      <c r="G24" s="38"/>
      <c r="H24" s="96"/>
      <c r="I24" s="3">
        <v>0</v>
      </c>
      <c r="J24" s="3"/>
      <c r="K24" s="2"/>
      <c r="L24" s="2"/>
      <c r="P24" s="2"/>
    </row>
    <row r="25" spans="1:16" s="1" customFormat="1" ht="15.75" customHeight="1">
      <c r="A25" s="30"/>
      <c r="B25" s="72"/>
      <c r="C25" s="60"/>
      <c r="D25" s="45"/>
      <c r="E25" s="24"/>
      <c r="F25" s="39"/>
      <c r="G25" s="38"/>
      <c r="H25" s="96"/>
      <c r="I25" s="3"/>
      <c r="J25" s="3"/>
      <c r="K25" s="2"/>
      <c r="L25" s="2"/>
      <c r="P25" s="2"/>
    </row>
    <row r="26" spans="1:16" s="1" customFormat="1" ht="15.75" customHeight="1">
      <c r="A26" s="30"/>
      <c r="B26" s="72"/>
      <c r="C26" s="60"/>
      <c r="D26" s="45"/>
      <c r="E26" s="24"/>
      <c r="F26" s="39"/>
      <c r="G26" s="38"/>
      <c r="H26" s="96"/>
      <c r="I26" s="3"/>
      <c r="J26" s="3"/>
      <c r="K26" s="2"/>
      <c r="L26" s="2"/>
      <c r="P26" s="2"/>
    </row>
    <row r="27" spans="1:16" s="1" customFormat="1" ht="15.75" customHeight="1">
      <c r="A27" s="30"/>
      <c r="B27" s="72"/>
      <c r="C27" s="60"/>
      <c r="D27" s="45"/>
      <c r="E27" s="24"/>
      <c r="F27" s="39"/>
      <c r="G27" s="38"/>
      <c r="H27" s="96"/>
      <c r="I27" s="3"/>
      <c r="J27" s="3"/>
      <c r="K27" s="2"/>
      <c r="L27" s="2"/>
      <c r="P27" s="2"/>
    </row>
    <row r="28" spans="1:16" s="1" customFormat="1" ht="15.75" customHeight="1">
      <c r="A28" s="30"/>
      <c r="B28" s="72"/>
      <c r="C28" s="60"/>
      <c r="D28" s="45"/>
      <c r="E28" s="24"/>
      <c r="F28" s="39"/>
      <c r="G28" s="38"/>
      <c r="H28" s="96"/>
      <c r="I28" s="3"/>
      <c r="J28" s="3"/>
      <c r="K28" s="2"/>
      <c r="L28" s="2"/>
      <c r="P28" s="2"/>
    </row>
    <row r="29" spans="1:16" s="1" customFormat="1" ht="15.75" customHeight="1">
      <c r="A29" s="30"/>
      <c r="B29" s="72"/>
      <c r="C29" s="60"/>
      <c r="D29" s="45"/>
      <c r="E29" s="24"/>
      <c r="F29" s="39"/>
      <c r="G29" s="38"/>
      <c r="H29" s="96"/>
      <c r="I29" s="3"/>
      <c r="J29" s="3"/>
      <c r="K29" s="2"/>
      <c r="L29" s="2"/>
      <c r="P29" s="2"/>
    </row>
    <row r="30" spans="1:16" s="1" customFormat="1" ht="15.75" customHeight="1">
      <c r="A30" s="30"/>
      <c r="B30" s="72"/>
      <c r="C30" s="60"/>
      <c r="D30" s="45"/>
      <c r="E30" s="24"/>
      <c r="F30" s="39"/>
      <c r="G30" s="141"/>
      <c r="H30" s="142"/>
      <c r="I30" s="3"/>
      <c r="J30" s="3"/>
      <c r="K30" s="2">
        <f t="shared" si="3"/>
        <v>0</v>
      </c>
      <c r="L30" s="2"/>
      <c r="P30" s="2"/>
    </row>
    <row r="31" spans="1:16" s="1" customFormat="1" ht="15.75" customHeight="1">
      <c r="A31" s="30"/>
      <c r="B31" s="72"/>
      <c r="C31" s="60"/>
      <c r="D31" s="45"/>
      <c r="E31" s="24"/>
      <c r="F31" s="39"/>
      <c r="G31" s="141"/>
      <c r="H31" s="142"/>
      <c r="I31" s="3"/>
      <c r="J31" s="3"/>
      <c r="K31" s="2">
        <f t="shared" si="3"/>
        <v>0</v>
      </c>
      <c r="L31" s="2"/>
      <c r="P31" s="2"/>
    </row>
    <row r="32" spans="1:16" s="1" customFormat="1" ht="15.75" customHeight="1">
      <c r="A32" s="30"/>
      <c r="B32" s="72"/>
      <c r="C32" s="60"/>
      <c r="D32" s="45"/>
      <c r="E32" s="24"/>
      <c r="F32" s="39"/>
      <c r="G32" s="141"/>
      <c r="H32" s="142"/>
      <c r="I32" s="3"/>
      <c r="J32" s="3"/>
      <c r="K32" s="2">
        <f t="shared" si="3"/>
        <v>0</v>
      </c>
      <c r="L32" s="2"/>
      <c r="P32" s="2"/>
    </row>
    <row r="33" spans="1:16" s="1" customFormat="1" ht="15.75" customHeight="1">
      <c r="A33" s="30"/>
      <c r="B33" s="72"/>
      <c r="C33" s="60"/>
      <c r="D33" s="45"/>
      <c r="E33" s="24"/>
      <c r="F33" s="39"/>
      <c r="G33" s="141"/>
      <c r="H33" s="142"/>
      <c r="I33" s="3"/>
      <c r="J33" s="3"/>
      <c r="K33" s="2">
        <f t="shared" si="3"/>
        <v>0</v>
      </c>
      <c r="L33" s="2"/>
      <c r="P33" s="2"/>
    </row>
    <row r="34" spans="1:16" s="1" customFormat="1" ht="15.75" customHeight="1">
      <c r="A34" s="30"/>
      <c r="B34" s="72"/>
      <c r="C34" s="60"/>
      <c r="D34" s="45"/>
      <c r="E34" s="24"/>
      <c r="F34" s="39"/>
      <c r="G34" s="141"/>
      <c r="H34" s="142"/>
      <c r="I34" s="3"/>
      <c r="J34" s="3"/>
      <c r="K34" s="2">
        <f t="shared" si="3"/>
        <v>0</v>
      </c>
      <c r="L34" s="2"/>
      <c r="P34" s="2"/>
    </row>
    <row r="35" spans="1:16" s="1" customFormat="1" ht="15.75" customHeight="1">
      <c r="A35" s="30"/>
      <c r="B35" s="72"/>
      <c r="C35" s="60"/>
      <c r="D35" s="45"/>
      <c r="E35" s="24"/>
      <c r="F35" s="39"/>
      <c r="G35" s="147"/>
      <c r="H35" s="148"/>
      <c r="I35" s="3"/>
      <c r="J35" s="3"/>
      <c r="K35" s="2">
        <f t="shared" si="3"/>
        <v>0</v>
      </c>
      <c r="L35" s="2"/>
      <c r="P35" s="2"/>
    </row>
    <row r="36" spans="1:16" s="1" customFormat="1" ht="15.75" customHeight="1">
      <c r="A36" s="84"/>
      <c r="B36" s="90">
        <f>SUM(B18:B35)</f>
        <v>97932</v>
      </c>
      <c r="C36" s="55">
        <f>SUM(C18:C35)</f>
        <v>97932</v>
      </c>
      <c r="D36" s="55">
        <f>SUM(D18:D35)</f>
        <v>97932</v>
      </c>
      <c r="E36" s="89"/>
      <c r="F36" s="86"/>
      <c r="G36" s="149">
        <f>SUM(G18:G35)</f>
        <v>97932</v>
      </c>
      <c r="H36" s="150"/>
      <c r="I36" s="3"/>
      <c r="J36" s="3"/>
      <c r="K36" s="2">
        <f t="shared" si="3"/>
        <v>97932</v>
      </c>
      <c r="L36" s="2"/>
      <c r="P36" s="2"/>
    </row>
    <row r="37" spans="1:16" s="93" customFormat="1" ht="15.75" customHeight="1" thickBot="1">
      <c r="A37" s="100">
        <f>A16</f>
        <v>82000000</v>
      </c>
      <c r="B37" s="90"/>
      <c r="C37" s="55"/>
      <c r="D37" s="47">
        <f>D16+D36</f>
        <v>15478121.82</v>
      </c>
      <c r="E37" s="85" t="s">
        <v>47</v>
      </c>
      <c r="F37" s="91"/>
      <c r="G37" s="143">
        <f>G16+G36</f>
        <v>15478121.82</v>
      </c>
      <c r="H37" s="144"/>
      <c r="I37" s="5"/>
      <c r="J37" s="5"/>
      <c r="K37" s="92">
        <f t="shared" si="3"/>
        <v>15478121.82</v>
      </c>
      <c r="L37" s="92"/>
      <c r="P37" s="92"/>
    </row>
    <row r="38" spans="1:16" s="1" customFormat="1" ht="15.75" customHeight="1" thickTop="1">
      <c r="A38" s="30"/>
      <c r="B38" s="25"/>
      <c r="C38" s="28"/>
      <c r="D38" s="48">
        <f>K38</f>
        <v>348430.91</v>
      </c>
      <c r="E38" s="27" t="s">
        <v>34</v>
      </c>
      <c r="F38" s="39">
        <v>21040000</v>
      </c>
      <c r="G38" s="141">
        <v>348430.91</v>
      </c>
      <c r="H38" s="142"/>
      <c r="I38" s="3"/>
      <c r="J38" s="3"/>
      <c r="K38" s="2">
        <f t="shared" si="3"/>
        <v>348430.91</v>
      </c>
      <c r="L38" s="2"/>
      <c r="P38" s="2"/>
    </row>
    <row r="39" spans="1:16" s="1" customFormat="1" ht="15.75" customHeight="1">
      <c r="A39" s="30"/>
      <c r="B39" s="25"/>
      <c r="C39" s="28"/>
      <c r="D39" s="45">
        <f aca="true" t="shared" si="4" ref="D39:D51">K39</f>
        <v>7534</v>
      </c>
      <c r="E39" s="27" t="s">
        <v>65</v>
      </c>
      <c r="F39" s="39">
        <v>11041000</v>
      </c>
      <c r="G39" s="141">
        <f>3100+4434</f>
        <v>7534</v>
      </c>
      <c r="H39" s="142"/>
      <c r="I39" s="3"/>
      <c r="J39" s="3"/>
      <c r="K39" s="2">
        <f t="shared" si="3"/>
        <v>7534</v>
      </c>
      <c r="L39" s="2"/>
      <c r="P39" s="2"/>
    </row>
    <row r="40" spans="1:16" s="1" customFormat="1" ht="15.75" customHeight="1">
      <c r="A40" s="30"/>
      <c r="B40" s="25"/>
      <c r="C40" s="28"/>
      <c r="D40" s="45">
        <f t="shared" si="4"/>
        <v>0</v>
      </c>
      <c r="E40" s="27" t="s">
        <v>30</v>
      </c>
      <c r="F40" s="39">
        <v>11047000</v>
      </c>
      <c r="G40" s="141">
        <v>0</v>
      </c>
      <c r="H40" s="142"/>
      <c r="I40" s="3">
        <v>0</v>
      </c>
      <c r="J40" s="3"/>
      <c r="K40" s="2">
        <f t="shared" si="3"/>
        <v>0</v>
      </c>
      <c r="L40" s="2"/>
      <c r="P40" s="2"/>
    </row>
    <row r="41" spans="1:16" s="1" customFormat="1" ht="15.75" customHeight="1">
      <c r="A41" s="30"/>
      <c r="B41" s="25"/>
      <c r="C41" s="28"/>
      <c r="D41" s="45">
        <f t="shared" si="4"/>
        <v>28644</v>
      </c>
      <c r="E41" s="27" t="s">
        <v>62</v>
      </c>
      <c r="F41" s="39">
        <v>19040000</v>
      </c>
      <c r="G41" s="141">
        <v>28644</v>
      </c>
      <c r="H41" s="142"/>
      <c r="I41" s="3"/>
      <c r="J41" s="3"/>
      <c r="K41" s="2">
        <f t="shared" si="3"/>
        <v>28644</v>
      </c>
      <c r="L41" s="2"/>
      <c r="P41" s="2"/>
    </row>
    <row r="42" spans="1:16" s="1" customFormat="1" ht="15.75" customHeight="1">
      <c r="A42" s="30"/>
      <c r="B42" s="25"/>
      <c r="C42" s="28"/>
      <c r="D42" s="45">
        <f t="shared" si="4"/>
        <v>313.28</v>
      </c>
      <c r="E42" s="27" t="s">
        <v>36</v>
      </c>
      <c r="F42" s="39">
        <v>11043002</v>
      </c>
      <c r="G42" s="141">
        <v>313.28</v>
      </c>
      <c r="H42" s="142"/>
      <c r="I42" s="3"/>
      <c r="J42" s="3"/>
      <c r="K42" s="2">
        <f t="shared" si="3"/>
        <v>313.28</v>
      </c>
      <c r="L42" s="2"/>
      <c r="P42" s="2"/>
    </row>
    <row r="43" spans="1:16" s="1" customFormat="1" ht="15.75" customHeight="1">
      <c r="A43" s="30"/>
      <c r="B43" s="25"/>
      <c r="C43" s="28"/>
      <c r="D43" s="45">
        <f t="shared" si="4"/>
        <v>25400</v>
      </c>
      <c r="E43" s="27" t="s">
        <v>95</v>
      </c>
      <c r="F43" s="39">
        <v>11069999</v>
      </c>
      <c r="G43" s="141">
        <v>25400</v>
      </c>
      <c r="H43" s="142"/>
      <c r="I43" s="3">
        <v>0</v>
      </c>
      <c r="J43" s="3"/>
      <c r="K43" s="2">
        <f t="shared" si="3"/>
        <v>25400</v>
      </c>
      <c r="L43" s="2"/>
      <c r="P43" s="2"/>
    </row>
    <row r="44" spans="1:16" s="1" customFormat="1" ht="15.75" customHeight="1">
      <c r="A44" s="30"/>
      <c r="B44" s="25"/>
      <c r="C44" s="28"/>
      <c r="D44" s="45">
        <f t="shared" si="4"/>
        <v>0</v>
      </c>
      <c r="E44" s="27" t="s">
        <v>63</v>
      </c>
      <c r="F44" s="39">
        <v>29010000</v>
      </c>
      <c r="G44" s="141">
        <v>0</v>
      </c>
      <c r="H44" s="142"/>
      <c r="I44" s="3"/>
      <c r="J44" s="3"/>
      <c r="K44" s="2">
        <f t="shared" si="3"/>
        <v>0</v>
      </c>
      <c r="L44" s="2"/>
      <c r="P44" s="2"/>
    </row>
    <row r="45" spans="1:16" s="1" customFormat="1" ht="15.75" customHeight="1">
      <c r="A45" s="30"/>
      <c r="B45" s="25"/>
      <c r="C45" s="28"/>
      <c r="D45" s="45">
        <f t="shared" si="4"/>
        <v>10000</v>
      </c>
      <c r="E45" s="27" t="s">
        <v>45</v>
      </c>
      <c r="F45" s="39">
        <v>11045000</v>
      </c>
      <c r="G45" s="141">
        <v>10000</v>
      </c>
      <c r="H45" s="142"/>
      <c r="I45" s="3"/>
      <c r="J45" s="3"/>
      <c r="K45" s="2">
        <f t="shared" si="3"/>
        <v>10000</v>
      </c>
      <c r="L45" s="2"/>
      <c r="P45" s="2"/>
    </row>
    <row r="46" spans="1:16" s="1" customFormat="1" ht="15.75" customHeight="1">
      <c r="A46" s="30"/>
      <c r="B46" s="25"/>
      <c r="C46" s="28"/>
      <c r="D46" s="45">
        <f t="shared" si="4"/>
        <v>971561</v>
      </c>
      <c r="E46" s="27" t="s">
        <v>61</v>
      </c>
      <c r="F46" s="39">
        <v>11042000</v>
      </c>
      <c r="G46" s="141">
        <v>971561</v>
      </c>
      <c r="H46" s="142"/>
      <c r="I46" s="3"/>
      <c r="J46" s="3"/>
      <c r="K46" s="2">
        <f t="shared" si="3"/>
        <v>971561</v>
      </c>
      <c r="L46" s="2"/>
      <c r="P46" s="2"/>
    </row>
    <row r="47" spans="1:16" s="1" customFormat="1" ht="15.75" customHeight="1">
      <c r="A47" s="30"/>
      <c r="B47" s="25"/>
      <c r="C47" s="28"/>
      <c r="D47" s="45">
        <f t="shared" si="4"/>
        <v>0</v>
      </c>
      <c r="E47" s="27" t="s">
        <v>27</v>
      </c>
      <c r="F47" s="39">
        <v>21010000</v>
      </c>
      <c r="G47" s="141"/>
      <c r="H47" s="142"/>
      <c r="I47" s="3"/>
      <c r="J47" s="3"/>
      <c r="K47" s="2">
        <f t="shared" si="3"/>
        <v>0</v>
      </c>
      <c r="L47" s="2"/>
      <c r="P47" s="2"/>
    </row>
    <row r="48" spans="1:16" s="1" customFormat="1" ht="15.75" customHeight="1">
      <c r="A48" s="30"/>
      <c r="B48" s="25"/>
      <c r="C48" s="28"/>
      <c r="D48" s="45">
        <f t="shared" si="4"/>
        <v>0</v>
      </c>
      <c r="E48" s="27" t="s">
        <v>38</v>
      </c>
      <c r="F48" s="39">
        <v>21030000</v>
      </c>
      <c r="G48" s="141">
        <v>0</v>
      </c>
      <c r="H48" s="142"/>
      <c r="I48" s="3">
        <v>0</v>
      </c>
      <c r="J48" s="3"/>
      <c r="K48" s="2">
        <f t="shared" si="3"/>
        <v>0</v>
      </c>
      <c r="L48" s="2"/>
      <c r="P48" s="2"/>
    </row>
    <row r="49" spans="1:16" s="1" customFormat="1" ht="15.75" customHeight="1">
      <c r="A49" s="30"/>
      <c r="B49" s="25"/>
      <c r="C49" s="28"/>
      <c r="D49" s="45">
        <f t="shared" si="4"/>
        <v>1063</v>
      </c>
      <c r="E49" s="27" t="s">
        <v>66</v>
      </c>
      <c r="F49" s="39">
        <v>21040016</v>
      </c>
      <c r="G49" s="141">
        <v>1063</v>
      </c>
      <c r="H49" s="142"/>
      <c r="I49" s="3"/>
      <c r="J49" s="3"/>
      <c r="K49" s="2">
        <f t="shared" si="3"/>
        <v>1063</v>
      </c>
      <c r="L49" s="2"/>
      <c r="P49" s="2"/>
    </row>
    <row r="50" spans="1:16" s="1" customFormat="1" ht="15.75" customHeight="1">
      <c r="A50" s="30"/>
      <c r="B50" s="25"/>
      <c r="C50" s="28"/>
      <c r="D50" s="45">
        <f t="shared" si="4"/>
        <v>0</v>
      </c>
      <c r="E50" s="26" t="s">
        <v>15</v>
      </c>
      <c r="F50" s="39">
        <v>31000000</v>
      </c>
      <c r="G50" s="141"/>
      <c r="H50" s="142"/>
      <c r="I50" s="3"/>
      <c r="J50" s="3"/>
      <c r="K50" s="2">
        <f t="shared" si="3"/>
        <v>0</v>
      </c>
      <c r="L50" s="2"/>
      <c r="P50" s="2"/>
    </row>
    <row r="51" spans="1:16" s="1" customFormat="1" ht="15.75" customHeight="1">
      <c r="A51" s="30"/>
      <c r="B51" s="26"/>
      <c r="C51" s="24"/>
      <c r="D51" s="45">
        <f t="shared" si="4"/>
        <v>0</v>
      </c>
      <c r="E51" s="27" t="s">
        <v>42</v>
      </c>
      <c r="F51" s="39">
        <v>32000000</v>
      </c>
      <c r="G51" s="151">
        <v>0</v>
      </c>
      <c r="H51" s="152"/>
      <c r="I51" s="3">
        <v>0</v>
      </c>
      <c r="J51" s="3"/>
      <c r="K51" s="2">
        <f>G51+I51</f>
        <v>0</v>
      </c>
      <c r="L51" s="2"/>
      <c r="P51" s="2"/>
    </row>
    <row r="52" spans="1:16" s="1" customFormat="1" ht="15.75" customHeight="1">
      <c r="A52" s="30"/>
      <c r="B52" s="26"/>
      <c r="C52" s="24"/>
      <c r="D52" s="49">
        <f>SUM(D38:D51)</f>
        <v>1392946.19</v>
      </c>
      <c r="E52" s="24"/>
      <c r="F52" s="50"/>
      <c r="G52" s="153">
        <f>SUM(G38:G51)</f>
        <v>1392946.19</v>
      </c>
      <c r="H52" s="154"/>
      <c r="I52" s="3">
        <f>SUM(I38:I51)</f>
        <v>0</v>
      </c>
      <c r="K52" s="6">
        <f>SUM(K18:K50)</f>
        <v>17066932.009999998</v>
      </c>
      <c r="L52" s="6"/>
      <c r="P52" s="2"/>
    </row>
    <row r="53" spans="1:16" s="1" customFormat="1" ht="15.75" customHeight="1">
      <c r="A53" s="100">
        <f>A37</f>
        <v>82000000</v>
      </c>
      <c r="B53" s="94">
        <f>SUM(B37)</f>
        <v>0</v>
      </c>
      <c r="C53" s="94">
        <f>SUM(C37)</f>
        <v>0</v>
      </c>
      <c r="D53" s="51">
        <f>D16+D36+D52</f>
        <v>16871068.01</v>
      </c>
      <c r="E53" s="42" t="s">
        <v>25</v>
      </c>
      <c r="F53" s="50"/>
      <c r="G53" s="153">
        <f>G16+G36+G52</f>
        <v>16871068.01</v>
      </c>
      <c r="H53" s="154"/>
      <c r="P53" s="2"/>
    </row>
    <row r="54" spans="1:16" s="1" customFormat="1" ht="15.75" customHeight="1">
      <c r="A54" s="108"/>
      <c r="B54" s="109"/>
      <c r="C54" s="109"/>
      <c r="D54" s="110"/>
      <c r="E54" s="41"/>
      <c r="F54" s="50"/>
      <c r="G54" s="111"/>
      <c r="H54" s="111"/>
      <c r="P54" s="2"/>
    </row>
    <row r="55" spans="1:10" ht="18" customHeight="1">
      <c r="A55" s="155" t="s">
        <v>28</v>
      </c>
      <c r="B55" s="155"/>
      <c r="C55" s="155"/>
      <c r="D55" s="155"/>
      <c r="E55" s="155"/>
      <c r="F55" s="155"/>
      <c r="G55" s="155"/>
      <c r="H55" s="155"/>
      <c r="I55" s="13"/>
      <c r="J55" s="13"/>
    </row>
    <row r="56" spans="1:16" s="1" customFormat="1" ht="15" customHeight="1">
      <c r="A56" s="179" t="s">
        <v>0</v>
      </c>
      <c r="B56" s="180"/>
      <c r="C56" s="180"/>
      <c r="D56" s="180"/>
      <c r="E56" s="181" t="s">
        <v>1</v>
      </c>
      <c r="F56" s="112"/>
      <c r="G56" s="113" t="s">
        <v>2</v>
      </c>
      <c r="H56" s="114"/>
      <c r="P56" s="2"/>
    </row>
    <row r="57" spans="1:16" s="1" customFormat="1" ht="13.5" customHeight="1">
      <c r="A57" s="115"/>
      <c r="B57" s="116" t="s">
        <v>57</v>
      </c>
      <c r="C57" s="116" t="s">
        <v>47</v>
      </c>
      <c r="D57" s="41" t="s">
        <v>48</v>
      </c>
      <c r="E57" s="182"/>
      <c r="F57" s="127" t="s">
        <v>98</v>
      </c>
      <c r="G57" s="184" t="s">
        <v>48</v>
      </c>
      <c r="H57" s="185"/>
      <c r="P57" s="2"/>
    </row>
    <row r="58" spans="1:16" s="1" customFormat="1" ht="13.5" customHeight="1">
      <c r="A58" s="119" t="s">
        <v>43</v>
      </c>
      <c r="B58" s="120" t="s">
        <v>58</v>
      </c>
      <c r="C58" s="42" t="s">
        <v>49</v>
      </c>
      <c r="D58" s="41" t="s">
        <v>49</v>
      </c>
      <c r="E58" s="182"/>
      <c r="F58" s="127" t="s">
        <v>99</v>
      </c>
      <c r="G58" s="117"/>
      <c r="H58" s="118"/>
      <c r="P58" s="2"/>
    </row>
    <row r="59" spans="1:16" s="1" customFormat="1" ht="13.5" customHeight="1" thickBot="1">
      <c r="A59" s="121" t="s">
        <v>49</v>
      </c>
      <c r="B59" s="122" t="s">
        <v>50</v>
      </c>
      <c r="C59" s="122"/>
      <c r="D59" s="123"/>
      <c r="E59" s="183"/>
      <c r="F59" s="124"/>
      <c r="G59" s="125" t="s">
        <v>3</v>
      </c>
      <c r="H59" s="126"/>
      <c r="P59" s="2"/>
    </row>
    <row r="60" spans="1:16" s="1" customFormat="1" ht="19.5" customHeight="1" thickTop="1">
      <c r="A60" s="74"/>
      <c r="B60" s="24"/>
      <c r="C60" s="26"/>
      <c r="D60" s="36"/>
      <c r="E60" s="35" t="s">
        <v>56</v>
      </c>
      <c r="F60" s="39"/>
      <c r="G60" s="137"/>
      <c r="H60" s="138"/>
      <c r="I60" s="1" t="s">
        <v>31</v>
      </c>
      <c r="K60" s="1" t="s">
        <v>26</v>
      </c>
      <c r="L60" s="7" t="s">
        <v>44</v>
      </c>
      <c r="P60" s="2"/>
    </row>
    <row r="61" spans="1:16" s="1" customFormat="1" ht="19.5" customHeight="1">
      <c r="A61" s="46">
        <v>19521070</v>
      </c>
      <c r="B61" s="70">
        <v>85932</v>
      </c>
      <c r="C61" s="69">
        <f>SUM(A61:B61)</f>
        <v>19607002</v>
      </c>
      <c r="D61" s="38">
        <f>K61</f>
        <v>1439244</v>
      </c>
      <c r="E61" s="24" t="s">
        <v>29</v>
      </c>
      <c r="F61" s="39" t="s">
        <v>85</v>
      </c>
      <c r="G61" s="141">
        <f>1410600+28644</f>
        <v>1439244</v>
      </c>
      <c r="H61" s="142"/>
      <c r="I61" s="3"/>
      <c r="J61" s="3"/>
      <c r="K61" s="8">
        <f aca="true" t="shared" si="5" ref="K61:K71">G61+I61</f>
        <v>1439244</v>
      </c>
      <c r="L61" s="9">
        <f>C61-D61</f>
        <v>18167758</v>
      </c>
      <c r="P61" s="2"/>
    </row>
    <row r="62" spans="1:16" s="1" customFormat="1" ht="19.5" customHeight="1">
      <c r="A62" s="46">
        <v>3598300</v>
      </c>
      <c r="B62" s="70">
        <v>0</v>
      </c>
      <c r="C62" s="69">
        <f aca="true" t="shared" si="6" ref="C62:C71">SUM(A62:B62)</f>
        <v>3598300</v>
      </c>
      <c r="D62" s="38">
        <f aca="true" t="shared" si="7" ref="D62:D68">K62</f>
        <v>299850</v>
      </c>
      <c r="E62" s="24" t="s">
        <v>76</v>
      </c>
      <c r="F62" s="39" t="s">
        <v>86</v>
      </c>
      <c r="G62" s="141">
        <v>299850</v>
      </c>
      <c r="H62" s="142"/>
      <c r="I62" s="3"/>
      <c r="J62" s="3"/>
      <c r="K62" s="8">
        <f t="shared" si="5"/>
        <v>299850</v>
      </c>
      <c r="L62" s="9">
        <f aca="true" t="shared" si="8" ref="L62:L71">C62-D62</f>
        <v>3298450</v>
      </c>
      <c r="P62" s="2"/>
    </row>
    <row r="63" spans="1:16" s="1" customFormat="1" ht="19.5" customHeight="1">
      <c r="A63" s="45">
        <f>6538000+2380100+697900+8345300+3170100</f>
        <v>21131400</v>
      </c>
      <c r="B63" s="70">
        <v>0</v>
      </c>
      <c r="C63" s="69">
        <f t="shared" si="6"/>
        <v>21131400</v>
      </c>
      <c r="D63" s="38">
        <f t="shared" si="7"/>
        <v>1404135</v>
      </c>
      <c r="E63" s="24" t="s">
        <v>77</v>
      </c>
      <c r="F63" s="39" t="s">
        <v>87</v>
      </c>
      <c r="G63" s="141">
        <v>1404135</v>
      </c>
      <c r="H63" s="142"/>
      <c r="I63" s="3"/>
      <c r="J63" s="3"/>
      <c r="K63" s="8">
        <f t="shared" si="5"/>
        <v>1404135</v>
      </c>
      <c r="L63" s="9">
        <f t="shared" si="8"/>
        <v>19727265</v>
      </c>
      <c r="P63" s="2"/>
    </row>
    <row r="64" spans="1:16" s="1" customFormat="1" ht="19.5" customHeight="1">
      <c r="A64" s="46">
        <f>447200+370000+195000+96000+174000</f>
        <v>1282200</v>
      </c>
      <c r="B64" s="70">
        <v>0</v>
      </c>
      <c r="C64" s="69">
        <f t="shared" si="6"/>
        <v>1282200</v>
      </c>
      <c r="D64" s="38">
        <f t="shared" si="7"/>
        <v>49800</v>
      </c>
      <c r="E64" s="24" t="s">
        <v>9</v>
      </c>
      <c r="F64" s="39" t="s">
        <v>88</v>
      </c>
      <c r="G64" s="141">
        <v>49800</v>
      </c>
      <c r="H64" s="142"/>
      <c r="I64" s="3"/>
      <c r="J64" s="3"/>
      <c r="K64" s="8">
        <f t="shared" si="5"/>
        <v>49800</v>
      </c>
      <c r="L64" s="9">
        <f t="shared" si="8"/>
        <v>1232400</v>
      </c>
      <c r="P64" s="2"/>
    </row>
    <row r="65" spans="1:16" s="1" customFormat="1" ht="19.5" customHeight="1">
      <c r="A65" s="46">
        <f>2969000+630000+1315000+360000+3572450+837000+280000+150000+140000+30000</f>
        <v>10283450</v>
      </c>
      <c r="B65" s="70">
        <v>0</v>
      </c>
      <c r="C65" s="69">
        <f t="shared" si="6"/>
        <v>10283450</v>
      </c>
      <c r="D65" s="38">
        <f t="shared" si="7"/>
        <v>25134</v>
      </c>
      <c r="E65" s="24" t="s">
        <v>10</v>
      </c>
      <c r="F65" s="39" t="s">
        <v>89</v>
      </c>
      <c r="G65" s="141">
        <v>25134</v>
      </c>
      <c r="H65" s="142"/>
      <c r="I65" s="3"/>
      <c r="J65" s="3"/>
      <c r="K65" s="8">
        <f t="shared" si="5"/>
        <v>25134</v>
      </c>
      <c r="L65" s="9">
        <f t="shared" si="8"/>
        <v>10258316</v>
      </c>
      <c r="P65" s="2"/>
    </row>
    <row r="66" spans="1:16" s="1" customFormat="1" ht="19.5" customHeight="1">
      <c r="A66" s="46">
        <f>1095000+265000+250000+389500+2608000+1420000</f>
        <v>6027500</v>
      </c>
      <c r="B66" s="70">
        <v>0</v>
      </c>
      <c r="C66" s="69">
        <f t="shared" si="6"/>
        <v>6027500</v>
      </c>
      <c r="D66" s="38">
        <f t="shared" si="7"/>
        <v>0</v>
      </c>
      <c r="E66" s="24" t="s">
        <v>11</v>
      </c>
      <c r="F66" s="39" t="s">
        <v>90</v>
      </c>
      <c r="G66" s="141">
        <v>0</v>
      </c>
      <c r="H66" s="142"/>
      <c r="I66" s="3"/>
      <c r="J66" s="3"/>
      <c r="K66" s="8">
        <f t="shared" si="5"/>
        <v>0</v>
      </c>
      <c r="L66" s="9">
        <f t="shared" si="8"/>
        <v>6027500</v>
      </c>
      <c r="P66" s="2"/>
    </row>
    <row r="67" spans="1:16" s="1" customFormat="1" ht="19.5" customHeight="1">
      <c r="A67" s="46">
        <f>695000+298000+71000</f>
        <v>1064000</v>
      </c>
      <c r="B67" s="70">
        <v>0</v>
      </c>
      <c r="C67" s="69">
        <f t="shared" si="6"/>
        <v>1064000</v>
      </c>
      <c r="D67" s="38">
        <f t="shared" si="7"/>
        <v>1315</v>
      </c>
      <c r="E67" s="24" t="s">
        <v>12</v>
      </c>
      <c r="F67" s="39" t="s">
        <v>91</v>
      </c>
      <c r="G67" s="156">
        <v>1315</v>
      </c>
      <c r="H67" s="157"/>
      <c r="I67" s="3"/>
      <c r="J67" s="3"/>
      <c r="K67" s="8">
        <f t="shared" si="5"/>
        <v>1315</v>
      </c>
      <c r="L67" s="9">
        <f t="shared" si="8"/>
        <v>1062685</v>
      </c>
      <c r="P67" s="2"/>
    </row>
    <row r="68" spans="1:16" s="1" customFormat="1" ht="19.5" customHeight="1">
      <c r="A68" s="97">
        <f>320000+3928000+51080+400000+30000</f>
        <v>4729080</v>
      </c>
      <c r="B68" s="70">
        <v>0</v>
      </c>
      <c r="C68" s="69">
        <f t="shared" si="6"/>
        <v>4729080</v>
      </c>
      <c r="D68" s="38">
        <f t="shared" si="7"/>
        <v>0</v>
      </c>
      <c r="E68" s="24" t="s">
        <v>8</v>
      </c>
      <c r="F68" s="39" t="s">
        <v>92</v>
      </c>
      <c r="G68" s="139">
        <v>0</v>
      </c>
      <c r="H68" s="140"/>
      <c r="I68" s="3"/>
      <c r="J68" s="3"/>
      <c r="K68" s="8">
        <f t="shared" si="5"/>
        <v>0</v>
      </c>
      <c r="L68" s="9">
        <f t="shared" si="8"/>
        <v>4729080</v>
      </c>
      <c r="P68" s="2"/>
    </row>
    <row r="69" spans="1:16" s="1" customFormat="1" ht="19.5" customHeight="1">
      <c r="A69" s="45">
        <f>651600+139700+302600+316000+4125100</f>
        <v>5535000</v>
      </c>
      <c r="B69" s="70">
        <v>0</v>
      </c>
      <c r="C69" s="69">
        <f t="shared" si="6"/>
        <v>5535000</v>
      </c>
      <c r="D69" s="38">
        <f>K69</f>
        <v>0</v>
      </c>
      <c r="E69" s="24" t="s">
        <v>13</v>
      </c>
      <c r="F69" s="39" t="s">
        <v>93</v>
      </c>
      <c r="G69" s="141">
        <v>0</v>
      </c>
      <c r="H69" s="142"/>
      <c r="I69" s="3"/>
      <c r="J69" s="3"/>
      <c r="K69" s="8">
        <f t="shared" si="5"/>
        <v>0</v>
      </c>
      <c r="L69" s="9">
        <f t="shared" si="8"/>
        <v>5535000</v>
      </c>
      <c r="P69" s="2"/>
    </row>
    <row r="70" spans="1:16" s="1" customFormat="1" ht="19.5" customHeight="1">
      <c r="A70" s="98">
        <f>450000+8378000</f>
        <v>8828000</v>
      </c>
      <c r="B70" s="70">
        <v>0</v>
      </c>
      <c r="C70" s="69">
        <f t="shared" si="6"/>
        <v>8828000</v>
      </c>
      <c r="D70" s="38">
        <f>K70</f>
        <v>0</v>
      </c>
      <c r="E70" s="24" t="s">
        <v>14</v>
      </c>
      <c r="F70" s="39">
        <v>54200000</v>
      </c>
      <c r="G70" s="141">
        <v>0</v>
      </c>
      <c r="H70" s="142"/>
      <c r="I70" s="3"/>
      <c r="J70" s="3"/>
      <c r="K70" s="8">
        <f t="shared" si="5"/>
        <v>0</v>
      </c>
      <c r="L70" s="9">
        <f t="shared" si="8"/>
        <v>8828000</v>
      </c>
      <c r="P70" s="2"/>
    </row>
    <row r="71" spans="1:16" s="1" customFormat="1" ht="19.5" customHeight="1">
      <c r="A71" s="98">
        <v>0</v>
      </c>
      <c r="B71" s="70">
        <v>0</v>
      </c>
      <c r="C71" s="69">
        <f t="shared" si="6"/>
        <v>0</v>
      </c>
      <c r="D71" s="38">
        <f>K71</f>
        <v>0</v>
      </c>
      <c r="E71" s="31" t="s">
        <v>94</v>
      </c>
      <c r="F71" s="39">
        <v>55000000</v>
      </c>
      <c r="G71" s="147">
        <v>0</v>
      </c>
      <c r="H71" s="148"/>
      <c r="I71" s="3">
        <v>0</v>
      </c>
      <c r="J71" s="3"/>
      <c r="K71" s="8">
        <f t="shared" si="5"/>
        <v>0</v>
      </c>
      <c r="L71" s="9">
        <f t="shared" si="8"/>
        <v>0</v>
      </c>
      <c r="P71" s="2"/>
    </row>
    <row r="72" spans="1:16" s="1" customFormat="1" ht="19.5" customHeight="1" thickBot="1">
      <c r="A72" s="75"/>
      <c r="B72" s="42"/>
      <c r="C72" s="52"/>
      <c r="D72" s="53">
        <f>SUM(D60:D70)</f>
        <v>3219478</v>
      </c>
      <c r="E72" s="31"/>
      <c r="F72" s="28"/>
      <c r="G72" s="158">
        <f>SUM(G60:G70)</f>
        <v>3219478</v>
      </c>
      <c r="H72" s="159"/>
      <c r="I72" s="4">
        <f>SUM(I61:I71)</f>
        <v>0</v>
      </c>
      <c r="K72" s="3"/>
      <c r="L72" s="3">
        <f>SUM(L61:L70)</f>
        <v>78866454</v>
      </c>
      <c r="P72" s="2"/>
    </row>
    <row r="73" spans="1:16" s="1" customFormat="1" ht="19.5" customHeight="1" thickTop="1">
      <c r="A73" s="30"/>
      <c r="B73" s="24"/>
      <c r="C73" s="27"/>
      <c r="D73" s="45">
        <f>K73</f>
        <v>0</v>
      </c>
      <c r="E73" s="27" t="s">
        <v>15</v>
      </c>
      <c r="F73" s="28">
        <v>31000000</v>
      </c>
      <c r="G73" s="151"/>
      <c r="H73" s="152"/>
      <c r="I73" s="3">
        <v>0</v>
      </c>
      <c r="J73" s="3"/>
      <c r="K73" s="2">
        <f aca="true" t="shared" si="9" ref="K73:K86">G73+I73</f>
        <v>0</v>
      </c>
      <c r="L73" s="2"/>
      <c r="P73" s="2"/>
    </row>
    <row r="74" spans="1:16" s="1" customFormat="1" ht="19.5" customHeight="1">
      <c r="A74" s="30"/>
      <c r="B74" s="24"/>
      <c r="C74" s="27"/>
      <c r="D74" s="45">
        <f>K74</f>
        <v>28644</v>
      </c>
      <c r="E74" s="27" t="s">
        <v>63</v>
      </c>
      <c r="F74" s="28">
        <v>29010000</v>
      </c>
      <c r="G74" s="151">
        <v>28644</v>
      </c>
      <c r="H74" s="152"/>
      <c r="I74" s="3">
        <v>0</v>
      </c>
      <c r="J74" s="3"/>
      <c r="K74" s="2">
        <f t="shared" si="9"/>
        <v>28644</v>
      </c>
      <c r="L74" s="2"/>
      <c r="P74" s="2"/>
    </row>
    <row r="75" spans="1:16" s="1" customFormat="1" ht="19.5" customHeight="1">
      <c r="A75" s="30"/>
      <c r="B75" s="24"/>
      <c r="C75" s="27"/>
      <c r="D75" s="45">
        <f aca="true" t="shared" si="10" ref="D75:D86">K75</f>
        <v>4434</v>
      </c>
      <c r="E75" s="27" t="s">
        <v>65</v>
      </c>
      <c r="F75" s="39">
        <v>11041000</v>
      </c>
      <c r="G75" s="151">
        <v>4434</v>
      </c>
      <c r="H75" s="152"/>
      <c r="I75" s="3">
        <v>0</v>
      </c>
      <c r="J75" s="3"/>
      <c r="K75" s="2">
        <f t="shared" si="9"/>
        <v>4434</v>
      </c>
      <c r="L75" s="2">
        <v>25968108</v>
      </c>
      <c r="P75" s="2"/>
    </row>
    <row r="76" spans="1:16" s="1" customFormat="1" ht="19.5" customHeight="1">
      <c r="A76" s="30"/>
      <c r="B76" s="24"/>
      <c r="C76" s="27"/>
      <c r="D76" s="45">
        <f t="shared" si="10"/>
        <v>0</v>
      </c>
      <c r="E76" s="27" t="s">
        <v>30</v>
      </c>
      <c r="F76" s="39">
        <v>11047000</v>
      </c>
      <c r="G76" s="151">
        <v>0</v>
      </c>
      <c r="H76" s="152"/>
      <c r="I76" s="3">
        <v>0</v>
      </c>
      <c r="J76" s="3"/>
      <c r="K76" s="2">
        <f t="shared" si="9"/>
        <v>0</v>
      </c>
      <c r="L76" s="2" t="e">
        <f>#REF!-L75</f>
        <v>#REF!</v>
      </c>
      <c r="P76" s="2"/>
    </row>
    <row r="77" spans="1:16" s="1" customFormat="1" ht="19.5" customHeight="1">
      <c r="A77" s="30"/>
      <c r="B77" s="24"/>
      <c r="C77" s="26"/>
      <c r="D77" s="45">
        <f t="shared" si="10"/>
        <v>0</v>
      </c>
      <c r="E77" s="24" t="s">
        <v>36</v>
      </c>
      <c r="F77" s="39">
        <v>11043002</v>
      </c>
      <c r="G77" s="151"/>
      <c r="H77" s="152"/>
      <c r="I77" s="3">
        <v>0</v>
      </c>
      <c r="J77" s="3"/>
      <c r="K77" s="2">
        <f t="shared" si="9"/>
        <v>0</v>
      </c>
      <c r="L77" s="2"/>
      <c r="P77" s="2"/>
    </row>
    <row r="78" spans="1:16" s="1" customFormat="1" ht="19.5" customHeight="1">
      <c r="A78" s="30"/>
      <c r="B78" s="24"/>
      <c r="C78" s="26"/>
      <c r="D78" s="45">
        <f t="shared" si="10"/>
        <v>0</v>
      </c>
      <c r="E78" s="24" t="s">
        <v>39</v>
      </c>
      <c r="F78" s="39">
        <v>11043003</v>
      </c>
      <c r="G78" s="151">
        <v>0</v>
      </c>
      <c r="H78" s="152"/>
      <c r="I78" s="3">
        <v>0</v>
      </c>
      <c r="J78" s="3"/>
      <c r="K78" s="2">
        <f t="shared" si="9"/>
        <v>0</v>
      </c>
      <c r="L78" s="2"/>
      <c r="P78" s="2"/>
    </row>
    <row r="79" spans="1:16" s="1" customFormat="1" ht="19.5" customHeight="1">
      <c r="A79" s="30"/>
      <c r="B79" s="24"/>
      <c r="C79" s="26"/>
      <c r="D79" s="45">
        <f t="shared" si="10"/>
        <v>0</v>
      </c>
      <c r="E79" s="27" t="s">
        <v>45</v>
      </c>
      <c r="F79" s="39">
        <v>11045000</v>
      </c>
      <c r="G79" s="151"/>
      <c r="H79" s="152"/>
      <c r="I79" s="3">
        <v>0</v>
      </c>
      <c r="J79" s="3"/>
      <c r="K79" s="2">
        <f t="shared" si="9"/>
        <v>0</v>
      </c>
      <c r="L79" s="2"/>
      <c r="P79" s="2"/>
    </row>
    <row r="80" spans="1:16" s="1" customFormat="1" ht="19.5" customHeight="1">
      <c r="A80" s="30"/>
      <c r="B80" s="24"/>
      <c r="C80" s="26"/>
      <c r="D80" s="45">
        <f t="shared" si="10"/>
        <v>0</v>
      </c>
      <c r="E80" s="24" t="s">
        <v>62</v>
      </c>
      <c r="F80" s="39">
        <v>19040000</v>
      </c>
      <c r="G80" s="151">
        <v>0</v>
      </c>
      <c r="H80" s="152"/>
      <c r="I80" s="3">
        <v>0</v>
      </c>
      <c r="J80" s="3"/>
      <c r="K80" s="2">
        <f t="shared" si="9"/>
        <v>0</v>
      </c>
      <c r="L80" s="2"/>
      <c r="P80" s="2"/>
    </row>
    <row r="81" spans="1:16" s="1" customFormat="1" ht="15.75" customHeight="1">
      <c r="A81" s="30"/>
      <c r="B81" s="25"/>
      <c r="C81" s="28"/>
      <c r="D81" s="45">
        <f>K81</f>
        <v>0</v>
      </c>
      <c r="E81" s="27" t="s">
        <v>95</v>
      </c>
      <c r="F81" s="39">
        <v>11069999</v>
      </c>
      <c r="G81" s="141"/>
      <c r="H81" s="142"/>
      <c r="I81" s="3">
        <v>0</v>
      </c>
      <c r="J81" s="3"/>
      <c r="K81" s="2">
        <f>SUM(G81+I81)</f>
        <v>0</v>
      </c>
      <c r="L81" s="2"/>
      <c r="P81" s="2"/>
    </row>
    <row r="82" spans="1:16" s="1" customFormat="1" ht="19.5" customHeight="1">
      <c r="A82" s="24"/>
      <c r="B82" s="24"/>
      <c r="C82" s="26"/>
      <c r="D82" s="45">
        <f>K82</f>
        <v>0</v>
      </c>
      <c r="E82" s="24" t="s">
        <v>61</v>
      </c>
      <c r="F82" s="39">
        <v>11042000</v>
      </c>
      <c r="G82" s="151"/>
      <c r="H82" s="152"/>
      <c r="I82" s="3">
        <v>0</v>
      </c>
      <c r="J82" s="3"/>
      <c r="K82" s="2">
        <f t="shared" si="9"/>
        <v>0</v>
      </c>
      <c r="L82" s="2"/>
      <c r="P82" s="2"/>
    </row>
    <row r="83" spans="1:16" s="1" customFormat="1" ht="19.5" customHeight="1">
      <c r="A83" s="24"/>
      <c r="B83" s="24"/>
      <c r="C83" s="26"/>
      <c r="D83" s="45">
        <f t="shared" si="10"/>
        <v>393499.27</v>
      </c>
      <c r="E83" s="24" t="s">
        <v>33</v>
      </c>
      <c r="F83" s="28">
        <v>21040000</v>
      </c>
      <c r="G83" s="151">
        <v>393499.27</v>
      </c>
      <c r="H83" s="152"/>
      <c r="I83" s="3"/>
      <c r="J83" s="3"/>
      <c r="K83" s="2">
        <f t="shared" si="9"/>
        <v>393499.27</v>
      </c>
      <c r="L83" s="2"/>
      <c r="P83" s="2"/>
    </row>
    <row r="84" spans="1:16" s="1" customFormat="1" ht="19.5" customHeight="1">
      <c r="A84" s="24"/>
      <c r="B84" s="24"/>
      <c r="C84" s="26"/>
      <c r="D84" s="45">
        <f t="shared" si="10"/>
        <v>0</v>
      </c>
      <c r="E84" s="24" t="s">
        <v>66</v>
      </c>
      <c r="F84" s="28">
        <v>21040016</v>
      </c>
      <c r="G84" s="151">
        <v>0</v>
      </c>
      <c r="H84" s="152"/>
      <c r="I84" s="3">
        <v>0</v>
      </c>
      <c r="J84" s="3"/>
      <c r="K84" s="2">
        <f t="shared" si="9"/>
        <v>0</v>
      </c>
      <c r="L84" s="2"/>
      <c r="P84" s="2"/>
    </row>
    <row r="85" spans="1:16" s="1" customFormat="1" ht="19.5" customHeight="1">
      <c r="A85" s="24"/>
      <c r="B85" s="24"/>
      <c r="C85" s="26"/>
      <c r="D85" s="45">
        <f t="shared" si="10"/>
        <v>1210545.25</v>
      </c>
      <c r="E85" s="24" t="s">
        <v>37</v>
      </c>
      <c r="F85" s="28">
        <v>21010000</v>
      </c>
      <c r="G85" s="151">
        <v>1210545.25</v>
      </c>
      <c r="H85" s="152"/>
      <c r="I85" s="3">
        <v>0</v>
      </c>
      <c r="J85" s="3"/>
      <c r="K85" s="2">
        <f t="shared" si="9"/>
        <v>1210545.25</v>
      </c>
      <c r="L85" s="2"/>
      <c r="P85" s="2"/>
    </row>
    <row r="86" spans="1:16" s="1" customFormat="1" ht="19.5" customHeight="1">
      <c r="A86" s="24"/>
      <c r="B86" s="24"/>
      <c r="C86" s="26"/>
      <c r="D86" s="45">
        <f t="shared" si="10"/>
        <v>3100</v>
      </c>
      <c r="E86" s="24" t="s">
        <v>38</v>
      </c>
      <c r="F86" s="28">
        <v>21030000</v>
      </c>
      <c r="G86" s="151">
        <v>3100</v>
      </c>
      <c r="H86" s="152"/>
      <c r="I86" s="3">
        <v>0</v>
      </c>
      <c r="J86" s="3"/>
      <c r="K86" s="2">
        <f t="shared" si="9"/>
        <v>3100</v>
      </c>
      <c r="L86" s="2"/>
      <c r="P86" s="2"/>
    </row>
    <row r="87" spans="1:16" s="1" customFormat="1" ht="19.5" customHeight="1" thickBot="1">
      <c r="A87" s="29"/>
      <c r="B87" s="24"/>
      <c r="C87" s="26"/>
      <c r="D87" s="82">
        <f>SUM(D73:D86)</f>
        <v>1640222.52</v>
      </c>
      <c r="E87" s="29"/>
      <c r="F87" s="50"/>
      <c r="G87" s="158">
        <f>SUM(G73:G86)</f>
        <v>1640222.52</v>
      </c>
      <c r="H87" s="159"/>
      <c r="I87" s="3">
        <f>SUM(I73:I86)</f>
        <v>0</v>
      </c>
      <c r="K87" s="3">
        <f>SUM(K73:K86)</f>
        <v>1640222.52</v>
      </c>
      <c r="L87" s="3"/>
      <c r="P87" s="2"/>
    </row>
    <row r="88" spans="1:16" s="1" customFormat="1" ht="19.5" customHeight="1" thickTop="1">
      <c r="A88" s="71">
        <f>SUM(A61:A87)</f>
        <v>82000000</v>
      </c>
      <c r="B88" s="71">
        <f>SUM(B61:B87)</f>
        <v>85932</v>
      </c>
      <c r="C88" s="71">
        <f>SUM(C61:C87)</f>
        <v>82085932</v>
      </c>
      <c r="D88" s="81">
        <f>D72+D87</f>
        <v>4859700.52</v>
      </c>
      <c r="E88" s="56" t="s">
        <v>20</v>
      </c>
      <c r="F88" s="57"/>
      <c r="G88" s="164">
        <f>G72+G87</f>
        <v>4859700.52</v>
      </c>
      <c r="H88" s="165"/>
      <c r="P88" s="2"/>
    </row>
    <row r="89" spans="1:16" s="1" customFormat="1" ht="19.5" customHeight="1">
      <c r="A89" s="58"/>
      <c r="B89" s="58"/>
      <c r="C89" s="58"/>
      <c r="D89" s="59">
        <f>D53-D88</f>
        <v>12011367.490000002</v>
      </c>
      <c r="E89" s="25" t="s">
        <v>21</v>
      </c>
      <c r="F89" s="50"/>
      <c r="G89" s="166"/>
      <c r="H89" s="167"/>
      <c r="K89" s="1">
        <v>49617015.23</v>
      </c>
      <c r="P89" s="2"/>
    </row>
    <row r="90" spans="1:16" s="1" customFormat="1" ht="19.5" customHeight="1">
      <c r="A90" s="26"/>
      <c r="B90" s="26"/>
      <c r="C90" s="26"/>
      <c r="D90" s="60"/>
      <c r="E90" s="26" t="s">
        <v>22</v>
      </c>
      <c r="F90" s="50"/>
      <c r="G90" s="141"/>
      <c r="H90" s="142"/>
      <c r="K90" s="1">
        <v>49374015.23</v>
      </c>
      <c r="P90" s="2"/>
    </row>
    <row r="91" spans="1:16" s="1" customFormat="1" ht="19.5" customHeight="1">
      <c r="A91" s="26"/>
      <c r="B91" s="26"/>
      <c r="C91" s="26"/>
      <c r="D91" s="61"/>
      <c r="E91" s="26" t="s">
        <v>23</v>
      </c>
      <c r="F91" s="50"/>
      <c r="G91" s="160">
        <f>G53-G88</f>
        <v>12011367.490000002</v>
      </c>
      <c r="H91" s="161"/>
      <c r="K91" s="1">
        <f>K89-K90</f>
        <v>243000</v>
      </c>
      <c r="P91" s="2"/>
    </row>
    <row r="92" spans="1:16" s="1" customFormat="1" ht="19.5" customHeight="1" thickBot="1">
      <c r="A92" s="26"/>
      <c r="B92" s="26"/>
      <c r="C92" s="26"/>
      <c r="D92" s="54">
        <f>D8+D53-D88</f>
        <v>61582103.25999999</v>
      </c>
      <c r="E92" s="25" t="s">
        <v>24</v>
      </c>
      <c r="F92" s="50"/>
      <c r="G92" s="158">
        <f>G8+G53-G88</f>
        <v>61582103.25999999</v>
      </c>
      <c r="H92" s="159"/>
      <c r="I92" s="2">
        <f>21534904.15+2649901.79+741567.16+36655730.16</f>
        <v>61582103.25999999</v>
      </c>
      <c r="J92" s="2"/>
      <c r="K92" s="10">
        <f>G92-I92</f>
        <v>0</v>
      </c>
      <c r="L92" s="10"/>
      <c r="P92" s="2"/>
    </row>
    <row r="93" spans="1:16" s="1" customFormat="1" ht="14.25" customHeight="1" thickTop="1">
      <c r="A93" s="26"/>
      <c r="B93" s="26"/>
      <c r="C93" s="26"/>
      <c r="D93" s="62"/>
      <c r="E93" s="63"/>
      <c r="F93" s="25"/>
      <c r="G93" s="62"/>
      <c r="H93" s="64"/>
      <c r="I93" s="3">
        <f>G92-I92</f>
        <v>0</v>
      </c>
      <c r="J93" s="3"/>
      <c r="K93" s="10">
        <v>55106253.61699999</v>
      </c>
      <c r="L93" s="10"/>
      <c r="P93" s="2"/>
    </row>
    <row r="94" spans="1:16" s="1" customFormat="1" ht="18.75" customHeight="1">
      <c r="A94" s="26"/>
      <c r="B94" s="26"/>
      <c r="C94" s="26"/>
      <c r="D94" s="62"/>
      <c r="E94" s="63"/>
      <c r="F94" s="25"/>
      <c r="G94" s="62"/>
      <c r="H94" s="64"/>
      <c r="I94" s="3"/>
      <c r="J94" s="3"/>
      <c r="K94" s="10"/>
      <c r="L94" s="10"/>
      <c r="P94" s="2"/>
    </row>
    <row r="95" spans="1:16" s="1" customFormat="1" ht="22.5" customHeight="1">
      <c r="A95" s="102" t="s">
        <v>41</v>
      </c>
      <c r="B95" s="103"/>
      <c r="C95" s="103"/>
      <c r="D95" s="162" t="s">
        <v>96</v>
      </c>
      <c r="E95" s="162"/>
      <c r="F95" s="162"/>
      <c r="G95" s="162"/>
      <c r="H95" s="162"/>
      <c r="I95" s="3"/>
      <c r="K95" s="10"/>
      <c r="L95" s="10"/>
      <c r="P95" s="2"/>
    </row>
    <row r="96" spans="1:16" s="1" customFormat="1" ht="22.5" customHeight="1">
      <c r="A96" s="102" t="s">
        <v>64</v>
      </c>
      <c r="B96" s="103"/>
      <c r="C96" s="103"/>
      <c r="D96" s="104" t="s">
        <v>101</v>
      </c>
      <c r="E96" s="104"/>
      <c r="F96" s="104"/>
      <c r="G96" s="104"/>
      <c r="H96" s="64"/>
      <c r="I96" s="3"/>
      <c r="K96" s="10"/>
      <c r="L96" s="10"/>
      <c r="P96" s="2"/>
    </row>
    <row r="97" spans="1:16" s="1" customFormat="1" ht="14.25" customHeight="1">
      <c r="A97" s="105" t="s">
        <v>60</v>
      </c>
      <c r="B97" s="105"/>
      <c r="C97" s="105"/>
      <c r="D97" s="106" t="s">
        <v>103</v>
      </c>
      <c r="F97" s="104"/>
      <c r="G97" s="107"/>
      <c r="H97" s="25"/>
      <c r="K97" s="2"/>
      <c r="L97" s="2"/>
      <c r="P97" s="2"/>
    </row>
    <row r="98" spans="1:16" s="1" customFormat="1" ht="18.75" customHeight="1">
      <c r="A98" s="26"/>
      <c r="B98" s="26"/>
      <c r="C98" s="26"/>
      <c r="D98" s="106" t="s">
        <v>102</v>
      </c>
      <c r="E98" s="63"/>
      <c r="F98" s="25"/>
      <c r="G98" s="62"/>
      <c r="H98" s="64"/>
      <c r="I98" s="3"/>
      <c r="J98" s="3"/>
      <c r="K98" s="10"/>
      <c r="L98" s="10"/>
      <c r="P98" s="2"/>
    </row>
    <row r="99" spans="1:16" s="1" customFormat="1" ht="18.75" customHeight="1">
      <c r="A99" s="26"/>
      <c r="B99" s="26"/>
      <c r="C99" s="26"/>
      <c r="D99" s="62"/>
      <c r="E99" s="63"/>
      <c r="F99" s="25"/>
      <c r="G99" s="62"/>
      <c r="H99" s="64"/>
      <c r="I99" s="3"/>
      <c r="J99" s="3"/>
      <c r="K99" s="10"/>
      <c r="L99" s="10"/>
      <c r="P99" s="2"/>
    </row>
    <row r="100" spans="1:16" s="1" customFormat="1" ht="18.75" customHeight="1">
      <c r="A100" s="26"/>
      <c r="B100" s="26"/>
      <c r="C100" s="26"/>
      <c r="D100" s="62"/>
      <c r="E100" s="63"/>
      <c r="F100" s="25"/>
      <c r="G100" s="62"/>
      <c r="H100" s="64"/>
      <c r="I100" s="3"/>
      <c r="J100" s="3"/>
      <c r="K100" s="10"/>
      <c r="L100" s="10"/>
      <c r="P100" s="2"/>
    </row>
    <row r="101" spans="1:16" s="1" customFormat="1" ht="18.75" customHeight="1">
      <c r="A101" s="26"/>
      <c r="B101" s="26"/>
      <c r="C101" s="26"/>
      <c r="D101" s="62"/>
      <c r="E101" s="63"/>
      <c r="F101" s="25"/>
      <c r="G101" s="62"/>
      <c r="H101" s="64"/>
      <c r="I101" s="3"/>
      <c r="J101" s="3"/>
      <c r="K101" s="10"/>
      <c r="L101" s="10"/>
      <c r="P101" s="2"/>
    </row>
    <row r="102" spans="1:16" s="1" customFormat="1" ht="22.5" customHeight="1">
      <c r="A102" s="65" t="s">
        <v>41</v>
      </c>
      <c r="B102" s="26"/>
      <c r="C102" s="26"/>
      <c r="D102" s="163" t="s">
        <v>59</v>
      </c>
      <c r="E102" s="163"/>
      <c r="F102" s="163"/>
      <c r="G102" s="163"/>
      <c r="H102" s="64"/>
      <c r="I102" s="3"/>
      <c r="K102" s="10"/>
      <c r="L102" s="10"/>
      <c r="P102" s="2"/>
    </row>
    <row r="103" spans="1:16" s="1" customFormat="1" ht="22.5" customHeight="1">
      <c r="A103" s="73" t="s">
        <v>72</v>
      </c>
      <c r="B103" s="26"/>
      <c r="C103" s="26"/>
      <c r="D103" s="63" t="s">
        <v>73</v>
      </c>
      <c r="E103" s="63"/>
      <c r="F103" s="63"/>
      <c r="G103" s="63"/>
      <c r="H103" s="64"/>
      <c r="I103" s="3"/>
      <c r="K103" s="10"/>
      <c r="L103" s="10"/>
      <c r="P103" s="2"/>
    </row>
    <row r="104" spans="1:16" s="1" customFormat="1" ht="14.25" customHeight="1">
      <c r="A104" s="95" t="s">
        <v>71</v>
      </c>
      <c r="B104" s="73"/>
      <c r="C104" s="73"/>
      <c r="D104" s="67" t="s">
        <v>75</v>
      </c>
      <c r="E104" s="66"/>
      <c r="F104" s="63"/>
      <c r="G104" s="68"/>
      <c r="H104" s="25"/>
      <c r="K104" s="2"/>
      <c r="L104" s="2"/>
      <c r="P104" s="2"/>
    </row>
    <row r="105" spans="1:12" ht="17.25" customHeight="1">
      <c r="A105" s="73" t="s">
        <v>60</v>
      </c>
      <c r="B105" s="76"/>
      <c r="C105" s="76"/>
      <c r="D105" s="67" t="s">
        <v>74</v>
      </c>
      <c r="E105" s="77"/>
      <c r="F105" s="78"/>
      <c r="G105" s="79"/>
      <c r="H105" s="80"/>
      <c r="K105" s="12"/>
      <c r="L105" s="12"/>
    </row>
    <row r="106" spans="1:15" ht="21" customHeight="1">
      <c r="A106" s="18"/>
      <c r="B106" s="18"/>
      <c r="C106" s="18"/>
      <c r="D106" s="18"/>
      <c r="E106" s="21"/>
      <c r="F106" s="17"/>
      <c r="G106" s="20"/>
      <c r="H106" s="15"/>
      <c r="I106" s="14"/>
      <c r="J106" s="16"/>
      <c r="K106" s="22"/>
      <c r="L106" s="22"/>
      <c r="M106" s="16"/>
      <c r="N106" s="16"/>
      <c r="O106" s="16"/>
    </row>
    <row r="107" spans="1:15" ht="21" customHeight="1">
      <c r="A107" s="18"/>
      <c r="B107" s="18"/>
      <c r="C107" s="18"/>
      <c r="D107" s="18"/>
      <c r="E107" s="19"/>
      <c r="F107" s="17"/>
      <c r="G107" s="20"/>
      <c r="H107" s="15"/>
      <c r="I107" s="14"/>
      <c r="J107" s="16"/>
      <c r="K107" s="22"/>
      <c r="L107" s="22"/>
      <c r="M107" s="23"/>
      <c r="N107" s="16"/>
      <c r="O107" s="16"/>
    </row>
    <row r="108" spans="1:15" ht="21" customHeight="1">
      <c r="A108" s="18"/>
      <c r="B108" s="18"/>
      <c r="C108" s="18"/>
      <c r="D108" s="18"/>
      <c r="E108" s="19"/>
      <c r="F108" s="17"/>
      <c r="G108" s="20"/>
      <c r="H108" s="15"/>
      <c r="I108" s="14"/>
      <c r="J108" s="16"/>
      <c r="K108" s="22"/>
      <c r="L108" s="22"/>
      <c r="M108" s="23"/>
      <c r="N108" s="16"/>
      <c r="O108" s="16"/>
    </row>
    <row r="109" spans="1:15" ht="21" customHeight="1">
      <c r="A109" s="18"/>
      <c r="B109" s="18"/>
      <c r="C109" s="18"/>
      <c r="D109" s="18"/>
      <c r="E109" s="19"/>
      <c r="F109" s="17"/>
      <c r="G109" s="20"/>
      <c r="H109" s="15"/>
      <c r="I109" s="14"/>
      <c r="J109" s="16"/>
      <c r="K109" s="22"/>
      <c r="L109" s="22"/>
      <c r="M109" s="23"/>
      <c r="N109" s="16"/>
      <c r="O109" s="16"/>
    </row>
    <row r="110" spans="9:16" ht="17.25">
      <c r="I110" s="12"/>
      <c r="J110" s="12"/>
      <c r="K110" s="12"/>
      <c r="L110" s="12"/>
      <c r="P110" s="11"/>
    </row>
    <row r="111" spans="9:16" ht="17.25">
      <c r="I111" s="12"/>
      <c r="J111" s="12"/>
      <c r="K111" s="12"/>
      <c r="L111" s="12"/>
      <c r="P111" s="11"/>
    </row>
    <row r="112" spans="9:16" ht="17.25">
      <c r="I112" s="12"/>
      <c r="J112" s="12"/>
      <c r="K112" s="12"/>
      <c r="L112" s="12"/>
      <c r="P112" s="11"/>
    </row>
    <row r="113" spans="9:16" ht="17.25">
      <c r="I113" s="12"/>
      <c r="J113" s="12"/>
      <c r="K113" s="12"/>
      <c r="L113" s="12"/>
      <c r="P113" s="11"/>
    </row>
    <row r="114" spans="9:16" ht="17.25">
      <c r="I114" s="12"/>
      <c r="J114" s="12"/>
      <c r="K114" s="12"/>
      <c r="L114" s="12"/>
      <c r="P114" s="11"/>
    </row>
    <row r="115" spans="9:16" ht="17.25">
      <c r="I115" s="12"/>
      <c r="J115" s="12"/>
      <c r="K115" s="12"/>
      <c r="L115" s="12"/>
      <c r="P115" s="11"/>
    </row>
    <row r="116" spans="9:16" ht="17.25">
      <c r="I116" s="12"/>
      <c r="J116" s="12"/>
      <c r="K116" s="12"/>
      <c r="L116" s="12"/>
      <c r="P116" s="11"/>
    </row>
    <row r="117" spans="9:16" ht="17.25">
      <c r="I117" s="12"/>
      <c r="J117" s="12"/>
      <c r="K117" s="12"/>
      <c r="L117" s="12"/>
      <c r="P117" s="11"/>
    </row>
  </sheetData>
  <sheetProtection/>
  <mergeCells count="86">
    <mergeCell ref="G90:H90"/>
    <mergeCell ref="G91:H91"/>
    <mergeCell ref="G92:H92"/>
    <mergeCell ref="D95:H95"/>
    <mergeCell ref="D102:G102"/>
    <mergeCell ref="G57:H57"/>
    <mergeCell ref="G84:H84"/>
    <mergeCell ref="G85:H85"/>
    <mergeCell ref="G86:H86"/>
    <mergeCell ref="G87:H87"/>
    <mergeCell ref="G88:H88"/>
    <mergeCell ref="G89:H89"/>
    <mergeCell ref="G78:H78"/>
    <mergeCell ref="G79:H79"/>
    <mergeCell ref="G80:H80"/>
    <mergeCell ref="G81:H81"/>
    <mergeCell ref="G82:H82"/>
    <mergeCell ref="G83:H83"/>
    <mergeCell ref="G72:H72"/>
    <mergeCell ref="G73:H73"/>
    <mergeCell ref="G74:H74"/>
    <mergeCell ref="G75:H75"/>
    <mergeCell ref="G76:H76"/>
    <mergeCell ref="G77:H77"/>
    <mergeCell ref="G66:H66"/>
    <mergeCell ref="G67:H67"/>
    <mergeCell ref="G68:H68"/>
    <mergeCell ref="G69:H69"/>
    <mergeCell ref="G70:H70"/>
    <mergeCell ref="G71:H71"/>
    <mergeCell ref="G60:H60"/>
    <mergeCell ref="G61:H61"/>
    <mergeCell ref="G62:H62"/>
    <mergeCell ref="G63:H63"/>
    <mergeCell ref="G64:H64"/>
    <mergeCell ref="G65:H65"/>
    <mergeCell ref="G51:H51"/>
    <mergeCell ref="G52:H52"/>
    <mergeCell ref="G53:H53"/>
    <mergeCell ref="A55:H55"/>
    <mergeCell ref="A56:D56"/>
    <mergeCell ref="E56:E59"/>
    <mergeCell ref="G45:H45"/>
    <mergeCell ref="G46:H46"/>
    <mergeCell ref="G47:H47"/>
    <mergeCell ref="G48:H48"/>
    <mergeCell ref="G49:H49"/>
    <mergeCell ref="G50:H50"/>
    <mergeCell ref="G39:H39"/>
    <mergeCell ref="G40:H40"/>
    <mergeCell ref="G41:H41"/>
    <mergeCell ref="G42:H42"/>
    <mergeCell ref="G43:H43"/>
    <mergeCell ref="G44:H44"/>
    <mergeCell ref="G33:H33"/>
    <mergeCell ref="G34:H34"/>
    <mergeCell ref="G35:H35"/>
    <mergeCell ref="G36:H36"/>
    <mergeCell ref="G37:H37"/>
    <mergeCell ref="G38:H38"/>
    <mergeCell ref="G21:H21"/>
    <mergeCell ref="G22:H22"/>
    <mergeCell ref="G23:H23"/>
    <mergeCell ref="G30:H30"/>
    <mergeCell ref="G31:H31"/>
    <mergeCell ref="G32:H32"/>
    <mergeCell ref="G14:H14"/>
    <mergeCell ref="G15:H15"/>
    <mergeCell ref="G16:H16"/>
    <mergeCell ref="G18:H18"/>
    <mergeCell ref="G19:H19"/>
    <mergeCell ref="G20:H20"/>
    <mergeCell ref="G8:H8"/>
    <mergeCell ref="G9:H9"/>
    <mergeCell ref="G10:H10"/>
    <mergeCell ref="G11:H11"/>
    <mergeCell ref="G12:H12"/>
    <mergeCell ref="G13:H13"/>
    <mergeCell ref="A1:H1"/>
    <mergeCell ref="A2:H2"/>
    <mergeCell ref="A3:H3"/>
    <mergeCell ref="A4:D4"/>
    <mergeCell ref="E4:E6"/>
    <mergeCell ref="G4:H4"/>
    <mergeCell ref="G5:H5"/>
    <mergeCell ref="G6:H6"/>
  </mergeCells>
  <printOptions/>
  <pageMargins left="0.31496062992125984" right="0.31496062992125984" top="0.2755905511811024" bottom="0" header="0.15748031496062992" footer="0.23622047244094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7"/>
  <sheetViews>
    <sheetView view="pageBreakPreview" zoomScale="140" zoomScaleSheetLayoutView="140" workbookViewId="0" topLeftCell="A88">
      <selection activeCell="G92" sqref="G92:H92"/>
    </sheetView>
  </sheetViews>
  <sheetFormatPr defaultColWidth="9.140625" defaultRowHeight="21.75"/>
  <cols>
    <col min="1" max="3" width="11.28125" style="11" customWidth="1"/>
    <col min="4" max="4" width="15.421875" style="11" customWidth="1"/>
    <col min="5" max="5" width="25.8515625" style="11" customWidth="1"/>
    <col min="6" max="6" width="10.00390625" style="11" customWidth="1"/>
    <col min="7" max="7" width="4.28125" style="11" customWidth="1"/>
    <col min="8" max="8" width="11.140625" style="11" customWidth="1"/>
    <col min="9" max="9" width="14.140625" style="11" customWidth="1"/>
    <col min="10" max="10" width="1.8515625" style="11" customWidth="1"/>
    <col min="11" max="11" width="13.57421875" style="11" customWidth="1"/>
    <col min="12" max="12" width="13.7109375" style="11" customWidth="1"/>
    <col min="13" max="15" width="14.28125" style="11" customWidth="1"/>
    <col min="16" max="16" width="14.28125" style="12" customWidth="1"/>
    <col min="17" max="16384" width="9.140625" style="11" customWidth="1"/>
  </cols>
  <sheetData>
    <row r="1" spans="1:16" s="1" customFormat="1" ht="17.25" customHeight="1">
      <c r="A1" s="168" t="s">
        <v>35</v>
      </c>
      <c r="B1" s="168"/>
      <c r="C1" s="168"/>
      <c r="D1" s="168"/>
      <c r="E1" s="168"/>
      <c r="F1" s="168"/>
      <c r="G1" s="168"/>
      <c r="H1" s="168"/>
      <c r="P1" s="2"/>
    </row>
    <row r="2" spans="1:16" s="1" customFormat="1" ht="17.25" customHeight="1">
      <c r="A2" s="168" t="s">
        <v>54</v>
      </c>
      <c r="B2" s="168"/>
      <c r="C2" s="168"/>
      <c r="D2" s="168"/>
      <c r="E2" s="168"/>
      <c r="F2" s="168"/>
      <c r="G2" s="168"/>
      <c r="H2" s="168"/>
      <c r="P2" s="2"/>
    </row>
    <row r="3" spans="1:16" s="1" customFormat="1" ht="17.25" customHeight="1" thickBot="1">
      <c r="A3" s="169" t="s">
        <v>104</v>
      </c>
      <c r="B3" s="169"/>
      <c r="C3" s="169"/>
      <c r="D3" s="169"/>
      <c r="E3" s="169"/>
      <c r="F3" s="169"/>
      <c r="G3" s="169"/>
      <c r="H3" s="169"/>
      <c r="P3" s="2"/>
    </row>
    <row r="4" spans="1:16" s="1" customFormat="1" ht="15.75" customHeight="1" thickTop="1">
      <c r="A4" s="170" t="s">
        <v>46</v>
      </c>
      <c r="B4" s="171"/>
      <c r="C4" s="171"/>
      <c r="D4" s="172"/>
      <c r="E4" s="173" t="s">
        <v>18</v>
      </c>
      <c r="F4" s="128" t="s">
        <v>16</v>
      </c>
      <c r="G4" s="175"/>
      <c r="H4" s="176"/>
      <c r="P4" s="2"/>
    </row>
    <row r="5" spans="1:16" s="1" customFormat="1" ht="15.75" customHeight="1">
      <c r="A5" s="129" t="s">
        <v>32</v>
      </c>
      <c r="B5" s="116" t="s">
        <v>51</v>
      </c>
      <c r="C5" s="116" t="s">
        <v>47</v>
      </c>
      <c r="D5" s="41" t="s">
        <v>48</v>
      </c>
      <c r="E5" s="174"/>
      <c r="F5" s="42" t="s">
        <v>17</v>
      </c>
      <c r="G5" s="177" t="s">
        <v>68</v>
      </c>
      <c r="H5" s="178"/>
      <c r="P5" s="2"/>
    </row>
    <row r="6" spans="1:16" s="1" customFormat="1" ht="15.75" customHeight="1">
      <c r="A6" s="130" t="s">
        <v>53</v>
      </c>
      <c r="B6" s="42" t="s">
        <v>52</v>
      </c>
      <c r="C6" s="42" t="s">
        <v>49</v>
      </c>
      <c r="D6" s="41" t="s">
        <v>49</v>
      </c>
      <c r="E6" s="174"/>
      <c r="F6" s="130"/>
      <c r="G6" s="177" t="s">
        <v>69</v>
      </c>
      <c r="H6" s="178"/>
      <c r="P6" s="2"/>
    </row>
    <row r="7" spans="1:16" s="1" customFormat="1" ht="15.75" customHeight="1">
      <c r="A7" s="131"/>
      <c r="B7" s="122" t="s">
        <v>49</v>
      </c>
      <c r="C7" s="122"/>
      <c r="D7" s="123"/>
      <c r="E7" s="132"/>
      <c r="F7" s="131"/>
      <c r="G7" s="123"/>
      <c r="H7" s="133"/>
      <c r="P7" s="2"/>
    </row>
    <row r="8" spans="1:16" s="1" customFormat="1" ht="15.75" customHeight="1" thickBot="1">
      <c r="A8" s="30"/>
      <c r="B8" s="31"/>
      <c r="C8" s="32"/>
      <c r="D8" s="33">
        <v>49570735.76999998</v>
      </c>
      <c r="E8" s="28"/>
      <c r="F8" s="28"/>
      <c r="G8" s="135">
        <v>61582103.25999999</v>
      </c>
      <c r="H8" s="136"/>
      <c r="P8" s="2"/>
    </row>
    <row r="9" spans="1:16" s="1" customFormat="1" ht="15.75" customHeight="1" thickTop="1">
      <c r="A9" s="30"/>
      <c r="B9" s="26"/>
      <c r="C9" s="24"/>
      <c r="D9" s="34"/>
      <c r="E9" s="35" t="s">
        <v>55</v>
      </c>
      <c r="F9" s="28"/>
      <c r="G9" s="137"/>
      <c r="H9" s="138"/>
      <c r="I9" s="1" t="s">
        <v>31</v>
      </c>
      <c r="K9" s="1" t="s">
        <v>26</v>
      </c>
      <c r="P9" s="2"/>
    </row>
    <row r="10" spans="1:16" s="1" customFormat="1" ht="15.75" customHeight="1">
      <c r="A10" s="99">
        <v>806000</v>
      </c>
      <c r="B10" s="72">
        <v>0</v>
      </c>
      <c r="C10" s="37">
        <f aca="true" t="shared" si="0" ref="C10:C15">SUM(A10:B10)</f>
        <v>806000</v>
      </c>
      <c r="D10" s="38">
        <f aca="true" t="shared" si="1" ref="D10:D15">K10</f>
        <v>4337.23</v>
      </c>
      <c r="E10" s="24" t="s">
        <v>4</v>
      </c>
      <c r="F10" s="39" t="s">
        <v>79</v>
      </c>
      <c r="G10" s="139">
        <v>3199.44</v>
      </c>
      <c r="H10" s="140"/>
      <c r="I10" s="3">
        <v>1137.79</v>
      </c>
      <c r="J10" s="3"/>
      <c r="K10" s="2">
        <f aca="true" t="shared" si="2" ref="K10:K15">SUM(G10+I10)</f>
        <v>4337.23</v>
      </c>
      <c r="L10" s="2"/>
      <c r="P10" s="2"/>
    </row>
    <row r="11" spans="1:16" s="1" customFormat="1" ht="15.75" customHeight="1">
      <c r="A11" s="99">
        <v>414000</v>
      </c>
      <c r="B11" s="72">
        <v>0</v>
      </c>
      <c r="C11" s="37">
        <f t="shared" si="0"/>
        <v>414000</v>
      </c>
      <c r="D11" s="38">
        <f t="shared" si="1"/>
        <v>47925.4</v>
      </c>
      <c r="E11" s="24" t="s">
        <v>5</v>
      </c>
      <c r="F11" s="39" t="s">
        <v>80</v>
      </c>
      <c r="G11" s="141">
        <v>25059</v>
      </c>
      <c r="H11" s="142"/>
      <c r="I11" s="3">
        <v>22866.4</v>
      </c>
      <c r="J11" s="3"/>
      <c r="K11" s="2">
        <f t="shared" si="2"/>
        <v>47925.4</v>
      </c>
      <c r="L11" s="2"/>
      <c r="P11" s="2"/>
    </row>
    <row r="12" spans="1:16" s="1" customFormat="1" ht="15.75" customHeight="1">
      <c r="A12" s="99">
        <v>1900000</v>
      </c>
      <c r="B12" s="72">
        <v>0</v>
      </c>
      <c r="C12" s="37">
        <f t="shared" si="0"/>
        <v>1900000</v>
      </c>
      <c r="D12" s="38">
        <f t="shared" si="1"/>
        <v>216230</v>
      </c>
      <c r="E12" s="24" t="s">
        <v>6</v>
      </c>
      <c r="F12" s="39" t="s">
        <v>81</v>
      </c>
      <c r="G12" s="141">
        <v>99791</v>
      </c>
      <c r="H12" s="142"/>
      <c r="I12" s="3">
        <v>116439</v>
      </c>
      <c r="J12" s="3"/>
      <c r="K12" s="2">
        <f t="shared" si="2"/>
        <v>216230</v>
      </c>
      <c r="L12" s="2"/>
      <c r="P12" s="2"/>
    </row>
    <row r="13" spans="1:16" s="1" customFormat="1" ht="15.75" customHeight="1">
      <c r="A13" s="99">
        <v>820000</v>
      </c>
      <c r="B13" s="72">
        <v>0</v>
      </c>
      <c r="C13" s="37">
        <f t="shared" si="0"/>
        <v>820000</v>
      </c>
      <c r="D13" s="38">
        <f t="shared" si="1"/>
        <v>44000</v>
      </c>
      <c r="E13" s="24" t="s">
        <v>7</v>
      </c>
      <c r="F13" s="39" t="s">
        <v>82</v>
      </c>
      <c r="G13" s="141">
        <v>0</v>
      </c>
      <c r="H13" s="142"/>
      <c r="I13" s="3">
        <v>44000</v>
      </c>
      <c r="J13" s="3"/>
      <c r="K13" s="2">
        <f t="shared" si="2"/>
        <v>44000</v>
      </c>
      <c r="L13" s="2"/>
      <c r="P13" s="2"/>
    </row>
    <row r="14" spans="1:16" s="1" customFormat="1" ht="15.75" customHeight="1">
      <c r="A14" s="99">
        <v>32060000</v>
      </c>
      <c r="B14" s="72">
        <v>0</v>
      </c>
      <c r="C14" s="37">
        <f>SUM(A14:B14)</f>
        <v>32060000</v>
      </c>
      <c r="D14" s="38">
        <f t="shared" si="1"/>
        <v>3348558.9</v>
      </c>
      <c r="E14" s="24" t="s">
        <v>19</v>
      </c>
      <c r="F14" s="39" t="s">
        <v>83</v>
      </c>
      <c r="G14" s="141">
        <v>891700.27</v>
      </c>
      <c r="H14" s="142"/>
      <c r="I14" s="3">
        <v>2456858.63</v>
      </c>
      <c r="J14" s="3"/>
      <c r="K14" s="2">
        <f t="shared" si="2"/>
        <v>3348558.9</v>
      </c>
      <c r="L14" s="2"/>
      <c r="P14" s="2"/>
    </row>
    <row r="15" spans="1:16" s="1" customFormat="1" ht="15.75" customHeight="1">
      <c r="A15" s="99">
        <v>46000000</v>
      </c>
      <c r="B15" s="72">
        <v>0</v>
      </c>
      <c r="C15" s="37">
        <f t="shared" si="0"/>
        <v>46000000</v>
      </c>
      <c r="D15" s="38">
        <f t="shared" si="1"/>
        <v>12738888</v>
      </c>
      <c r="E15" s="24" t="s">
        <v>40</v>
      </c>
      <c r="F15" s="39" t="s">
        <v>84</v>
      </c>
      <c r="G15" s="141">
        <v>0</v>
      </c>
      <c r="H15" s="142"/>
      <c r="I15" s="3">
        <v>12738888</v>
      </c>
      <c r="J15" s="3"/>
      <c r="K15" s="2">
        <f t="shared" si="2"/>
        <v>12738888</v>
      </c>
      <c r="L15" s="2"/>
      <c r="P15" s="2"/>
    </row>
    <row r="16" spans="1:16" s="1" customFormat="1" ht="15.75" customHeight="1">
      <c r="A16" s="100">
        <f>SUM(A10:A15)</f>
        <v>82000000</v>
      </c>
      <c r="B16" s="88"/>
      <c r="C16" s="55">
        <f>SUM(C10:C15)</f>
        <v>82000000</v>
      </c>
      <c r="D16" s="83">
        <f>SUM(D10:D15)</f>
        <v>16399939.53</v>
      </c>
      <c r="E16" s="85" t="s">
        <v>47</v>
      </c>
      <c r="F16" s="86"/>
      <c r="G16" s="143">
        <f>SUM(G10:G15)</f>
        <v>1019749.71</v>
      </c>
      <c r="H16" s="144"/>
      <c r="I16" s="4">
        <f>SUM(I10:I15)</f>
        <v>15380189.82</v>
      </c>
      <c r="K16" s="5">
        <f>SUM(K10:K15)</f>
        <v>16399939.53</v>
      </c>
      <c r="L16" s="5"/>
      <c r="P16" s="2"/>
    </row>
    <row r="17" spans="1:16" s="1" customFormat="1" ht="15.75" customHeight="1">
      <c r="A17" s="40"/>
      <c r="B17" s="41"/>
      <c r="C17" s="42"/>
      <c r="D17" s="87"/>
      <c r="E17" s="101" t="s">
        <v>100</v>
      </c>
      <c r="F17" s="39">
        <v>44100000</v>
      </c>
      <c r="G17" s="43"/>
      <c r="H17" s="44"/>
      <c r="I17" s="4"/>
      <c r="K17" s="5"/>
      <c r="L17" s="5"/>
      <c r="P17" s="2"/>
    </row>
    <row r="18" spans="1:16" s="1" customFormat="1" ht="15.75" customHeight="1">
      <c r="A18" s="30"/>
      <c r="B18" s="72">
        <v>12000</v>
      </c>
      <c r="C18" s="60">
        <f>SUM(B18)</f>
        <v>12000</v>
      </c>
      <c r="D18" s="45">
        <f>K18</f>
        <v>12000</v>
      </c>
      <c r="E18" s="24" t="s">
        <v>67</v>
      </c>
      <c r="F18" s="39"/>
      <c r="G18" s="145">
        <v>0</v>
      </c>
      <c r="H18" s="146"/>
      <c r="I18" s="3">
        <v>12000</v>
      </c>
      <c r="J18" s="3"/>
      <c r="K18" s="2">
        <f aca="true" t="shared" si="3" ref="K18:K50">SUM(G18+I18)</f>
        <v>12000</v>
      </c>
      <c r="L18" s="2"/>
      <c r="P18" s="2"/>
    </row>
    <row r="19" spans="1:16" s="1" customFormat="1" ht="15.75" customHeight="1">
      <c r="A19" s="30"/>
      <c r="B19" s="72">
        <v>0</v>
      </c>
      <c r="C19" s="60">
        <f>SUM(B19)</f>
        <v>0</v>
      </c>
      <c r="D19" s="45">
        <f>K19</f>
        <v>0</v>
      </c>
      <c r="E19" s="24" t="s">
        <v>70</v>
      </c>
      <c r="F19" s="39"/>
      <c r="G19" s="145">
        <v>0</v>
      </c>
      <c r="H19" s="146"/>
      <c r="I19" s="3">
        <v>0</v>
      </c>
      <c r="J19" s="3">
        <v>0</v>
      </c>
      <c r="K19" s="2">
        <f t="shared" si="3"/>
        <v>0</v>
      </c>
      <c r="L19" s="2"/>
      <c r="P19" s="2"/>
    </row>
    <row r="20" spans="1:16" s="1" customFormat="1" ht="15.75" customHeight="1">
      <c r="A20" s="30"/>
      <c r="B20" s="72">
        <v>85932</v>
      </c>
      <c r="C20" s="60">
        <f>SUM(B20)</f>
        <v>85932</v>
      </c>
      <c r="D20" s="45">
        <f>K20</f>
        <v>85932</v>
      </c>
      <c r="E20" s="24" t="s">
        <v>78</v>
      </c>
      <c r="F20" s="39"/>
      <c r="G20" s="141">
        <v>0</v>
      </c>
      <c r="H20" s="142"/>
      <c r="I20" s="3">
        <v>85932</v>
      </c>
      <c r="J20" s="3"/>
      <c r="K20" s="2">
        <f t="shared" si="3"/>
        <v>85932</v>
      </c>
      <c r="L20" s="2"/>
      <c r="P20" s="2"/>
    </row>
    <row r="21" spans="1:16" s="1" customFormat="1" ht="15.75" customHeight="1">
      <c r="A21" s="30"/>
      <c r="B21" s="72"/>
      <c r="C21" s="60"/>
      <c r="D21" s="45"/>
      <c r="E21" s="24"/>
      <c r="F21" s="39"/>
      <c r="G21" s="141"/>
      <c r="H21" s="142"/>
      <c r="I21" s="3">
        <v>0</v>
      </c>
      <c r="J21" s="3"/>
      <c r="K21" s="2">
        <f t="shared" si="3"/>
        <v>0</v>
      </c>
      <c r="L21" s="2"/>
      <c r="P21" s="2"/>
    </row>
    <row r="22" spans="1:16" s="1" customFormat="1" ht="15.75" customHeight="1">
      <c r="A22" s="30"/>
      <c r="B22" s="72"/>
      <c r="C22" s="60"/>
      <c r="D22" s="45"/>
      <c r="E22" s="24"/>
      <c r="F22" s="39"/>
      <c r="G22" s="141"/>
      <c r="H22" s="142"/>
      <c r="I22" s="3">
        <v>0</v>
      </c>
      <c r="J22" s="3"/>
      <c r="K22" s="2">
        <f t="shared" si="3"/>
        <v>0</v>
      </c>
      <c r="L22" s="2"/>
      <c r="P22" s="2"/>
    </row>
    <row r="23" spans="1:16" s="1" customFormat="1" ht="15.75" customHeight="1">
      <c r="A23" s="30"/>
      <c r="B23" s="72"/>
      <c r="C23" s="60"/>
      <c r="D23" s="45"/>
      <c r="E23" s="24"/>
      <c r="F23" s="39"/>
      <c r="G23" s="141"/>
      <c r="H23" s="142"/>
      <c r="I23" s="3">
        <v>0</v>
      </c>
      <c r="J23" s="3"/>
      <c r="K23" s="2">
        <f t="shared" si="3"/>
        <v>0</v>
      </c>
      <c r="L23" s="2"/>
      <c r="P23" s="2"/>
    </row>
    <row r="24" spans="1:16" s="1" customFormat="1" ht="15.75" customHeight="1">
      <c r="A24" s="30"/>
      <c r="B24" s="72"/>
      <c r="C24" s="60"/>
      <c r="D24" s="45"/>
      <c r="E24" s="24"/>
      <c r="F24" s="39"/>
      <c r="G24" s="38"/>
      <c r="H24" s="96"/>
      <c r="I24" s="3">
        <v>0</v>
      </c>
      <c r="J24" s="3"/>
      <c r="K24" s="2"/>
      <c r="L24" s="2"/>
      <c r="P24" s="2"/>
    </row>
    <row r="25" spans="1:16" s="1" customFormat="1" ht="15.75" customHeight="1">
      <c r="A25" s="30"/>
      <c r="B25" s="72"/>
      <c r="C25" s="60"/>
      <c r="D25" s="45"/>
      <c r="E25" s="24"/>
      <c r="F25" s="39"/>
      <c r="G25" s="38"/>
      <c r="H25" s="96"/>
      <c r="I25" s="3"/>
      <c r="J25" s="3"/>
      <c r="K25" s="2"/>
      <c r="L25" s="2"/>
      <c r="P25" s="2"/>
    </row>
    <row r="26" spans="1:16" s="1" customFormat="1" ht="15.75" customHeight="1">
      <c r="A26" s="30"/>
      <c r="B26" s="72"/>
      <c r="C26" s="60"/>
      <c r="D26" s="45"/>
      <c r="E26" s="24"/>
      <c r="F26" s="39"/>
      <c r="G26" s="38"/>
      <c r="H26" s="96"/>
      <c r="I26" s="3"/>
      <c r="J26" s="3"/>
      <c r="K26" s="2"/>
      <c r="L26" s="2"/>
      <c r="P26" s="2"/>
    </row>
    <row r="27" spans="1:16" s="1" customFormat="1" ht="15.75" customHeight="1">
      <c r="A27" s="30"/>
      <c r="B27" s="72"/>
      <c r="C27" s="60"/>
      <c r="D27" s="45"/>
      <c r="E27" s="24"/>
      <c r="F27" s="39"/>
      <c r="G27" s="38"/>
      <c r="H27" s="96"/>
      <c r="I27" s="3"/>
      <c r="J27" s="3"/>
      <c r="K27" s="2"/>
      <c r="L27" s="2"/>
      <c r="P27" s="2"/>
    </row>
    <row r="28" spans="1:16" s="1" customFormat="1" ht="15.75" customHeight="1">
      <c r="A28" s="30"/>
      <c r="B28" s="72"/>
      <c r="C28" s="60"/>
      <c r="D28" s="45"/>
      <c r="E28" s="24"/>
      <c r="F28" s="39"/>
      <c r="G28" s="38"/>
      <c r="H28" s="96"/>
      <c r="I28" s="3"/>
      <c r="J28" s="3"/>
      <c r="K28" s="2"/>
      <c r="L28" s="2"/>
      <c r="P28" s="2"/>
    </row>
    <row r="29" spans="1:16" s="1" customFormat="1" ht="15.75" customHeight="1">
      <c r="A29" s="30"/>
      <c r="B29" s="72"/>
      <c r="C29" s="60"/>
      <c r="D29" s="45"/>
      <c r="E29" s="24"/>
      <c r="F29" s="39"/>
      <c r="G29" s="38"/>
      <c r="H29" s="96"/>
      <c r="I29" s="3"/>
      <c r="J29" s="3"/>
      <c r="K29" s="2"/>
      <c r="L29" s="2"/>
      <c r="P29" s="2"/>
    </row>
    <row r="30" spans="1:16" s="1" customFormat="1" ht="15.75" customHeight="1">
      <c r="A30" s="30"/>
      <c r="B30" s="72"/>
      <c r="C30" s="60"/>
      <c r="D30" s="45"/>
      <c r="E30" s="24"/>
      <c r="F30" s="39"/>
      <c r="G30" s="141"/>
      <c r="H30" s="142"/>
      <c r="I30" s="3"/>
      <c r="J30" s="3"/>
      <c r="K30" s="2">
        <f t="shared" si="3"/>
        <v>0</v>
      </c>
      <c r="L30" s="2"/>
      <c r="P30" s="2"/>
    </row>
    <row r="31" spans="1:16" s="1" customFormat="1" ht="15.75" customHeight="1">
      <c r="A31" s="30"/>
      <c r="B31" s="72"/>
      <c r="C31" s="60"/>
      <c r="D31" s="45"/>
      <c r="E31" s="24"/>
      <c r="F31" s="39"/>
      <c r="G31" s="141"/>
      <c r="H31" s="142"/>
      <c r="I31" s="3"/>
      <c r="J31" s="3"/>
      <c r="K31" s="2">
        <f t="shared" si="3"/>
        <v>0</v>
      </c>
      <c r="L31" s="2"/>
      <c r="P31" s="2"/>
    </row>
    <row r="32" spans="1:16" s="1" customFormat="1" ht="15.75" customHeight="1">
      <c r="A32" s="30"/>
      <c r="B32" s="72"/>
      <c r="C32" s="60"/>
      <c r="D32" s="45"/>
      <c r="E32" s="24"/>
      <c r="F32" s="39"/>
      <c r="G32" s="141"/>
      <c r="H32" s="142"/>
      <c r="I32" s="3"/>
      <c r="J32" s="3"/>
      <c r="K32" s="2">
        <f t="shared" si="3"/>
        <v>0</v>
      </c>
      <c r="L32" s="2"/>
      <c r="P32" s="2"/>
    </row>
    <row r="33" spans="1:16" s="1" customFormat="1" ht="15.75" customHeight="1">
      <c r="A33" s="30"/>
      <c r="B33" s="72"/>
      <c r="C33" s="60"/>
      <c r="D33" s="45"/>
      <c r="E33" s="24"/>
      <c r="F33" s="39"/>
      <c r="G33" s="141"/>
      <c r="H33" s="142"/>
      <c r="I33" s="3"/>
      <c r="J33" s="3"/>
      <c r="K33" s="2">
        <f t="shared" si="3"/>
        <v>0</v>
      </c>
      <c r="L33" s="2"/>
      <c r="P33" s="2"/>
    </row>
    <row r="34" spans="1:16" s="1" customFormat="1" ht="15.75" customHeight="1">
      <c r="A34" s="30"/>
      <c r="B34" s="72"/>
      <c r="C34" s="60"/>
      <c r="D34" s="45"/>
      <c r="E34" s="24"/>
      <c r="F34" s="39"/>
      <c r="G34" s="141"/>
      <c r="H34" s="142"/>
      <c r="I34" s="3"/>
      <c r="J34" s="3"/>
      <c r="K34" s="2">
        <f t="shared" si="3"/>
        <v>0</v>
      </c>
      <c r="L34" s="2"/>
      <c r="P34" s="2"/>
    </row>
    <row r="35" spans="1:16" s="1" customFormat="1" ht="15.75" customHeight="1">
      <c r="A35" s="30"/>
      <c r="B35" s="72"/>
      <c r="C35" s="60"/>
      <c r="D35" s="45"/>
      <c r="E35" s="24"/>
      <c r="F35" s="39"/>
      <c r="G35" s="147"/>
      <c r="H35" s="148"/>
      <c r="I35" s="3"/>
      <c r="J35" s="3"/>
      <c r="K35" s="2">
        <f t="shared" si="3"/>
        <v>0</v>
      </c>
      <c r="L35" s="2"/>
      <c r="P35" s="2"/>
    </row>
    <row r="36" spans="1:16" s="1" customFormat="1" ht="15.75" customHeight="1">
      <c r="A36" s="84"/>
      <c r="B36" s="90">
        <f>SUM(B18:B35)</f>
        <v>97932</v>
      </c>
      <c r="C36" s="55">
        <f>SUM(C18:C35)</f>
        <v>97932</v>
      </c>
      <c r="D36" s="55">
        <f>SUM(D18:D35)</f>
        <v>97932</v>
      </c>
      <c r="E36" s="89"/>
      <c r="F36" s="86"/>
      <c r="G36" s="149">
        <f>SUM(G18:G35)</f>
        <v>0</v>
      </c>
      <c r="H36" s="150"/>
      <c r="I36" s="3"/>
      <c r="J36" s="3"/>
      <c r="K36" s="2">
        <f t="shared" si="3"/>
        <v>0</v>
      </c>
      <c r="L36" s="2"/>
      <c r="P36" s="2"/>
    </row>
    <row r="37" spans="1:16" s="93" customFormat="1" ht="15.75" customHeight="1" thickBot="1">
      <c r="A37" s="100">
        <f>A16</f>
        <v>82000000</v>
      </c>
      <c r="B37" s="90"/>
      <c r="C37" s="55"/>
      <c r="D37" s="47">
        <f>D16+D36</f>
        <v>16497871.53</v>
      </c>
      <c r="E37" s="85" t="s">
        <v>47</v>
      </c>
      <c r="F37" s="91"/>
      <c r="G37" s="143">
        <f>G16+G36</f>
        <v>1019749.71</v>
      </c>
      <c r="H37" s="144"/>
      <c r="I37" s="5"/>
      <c r="J37" s="5"/>
      <c r="K37" s="92">
        <f t="shared" si="3"/>
        <v>1019749.71</v>
      </c>
      <c r="L37" s="92"/>
      <c r="P37" s="92"/>
    </row>
    <row r="38" spans="1:16" s="1" customFormat="1" ht="15.75" customHeight="1" thickTop="1">
      <c r="A38" s="30"/>
      <c r="B38" s="25"/>
      <c r="C38" s="28"/>
      <c r="D38" s="48">
        <f>K38</f>
        <v>719757.22</v>
      </c>
      <c r="E38" s="27" t="s">
        <v>34</v>
      </c>
      <c r="F38" s="39">
        <v>21040000</v>
      </c>
      <c r="G38" s="141">
        <v>371326.31</v>
      </c>
      <c r="H38" s="142"/>
      <c r="I38" s="3">
        <v>348430.91</v>
      </c>
      <c r="J38" s="3"/>
      <c r="K38" s="2">
        <f t="shared" si="3"/>
        <v>719757.22</v>
      </c>
      <c r="L38" s="2"/>
      <c r="P38" s="2"/>
    </row>
    <row r="39" spans="1:16" s="1" customFormat="1" ht="15.75" customHeight="1">
      <c r="A39" s="30"/>
      <c r="B39" s="25"/>
      <c r="C39" s="28"/>
      <c r="D39" s="45">
        <f aca="true" t="shared" si="4" ref="D39:D51">K39</f>
        <v>91414</v>
      </c>
      <c r="E39" s="27" t="s">
        <v>65</v>
      </c>
      <c r="F39" s="39">
        <v>11041000</v>
      </c>
      <c r="G39" s="141">
        <f>65880+18000</f>
        <v>83880</v>
      </c>
      <c r="H39" s="142"/>
      <c r="I39" s="3">
        <v>7534</v>
      </c>
      <c r="J39" s="3"/>
      <c r="K39" s="2">
        <f t="shared" si="3"/>
        <v>91414</v>
      </c>
      <c r="L39" s="2"/>
      <c r="P39" s="2"/>
    </row>
    <row r="40" spans="1:16" s="1" customFormat="1" ht="15.75" customHeight="1">
      <c r="A40" s="30"/>
      <c r="B40" s="25"/>
      <c r="C40" s="28"/>
      <c r="D40" s="45">
        <f t="shared" si="4"/>
        <v>0</v>
      </c>
      <c r="E40" s="27" t="s">
        <v>30</v>
      </c>
      <c r="F40" s="39">
        <v>11047000</v>
      </c>
      <c r="G40" s="141">
        <v>0</v>
      </c>
      <c r="H40" s="142"/>
      <c r="I40" s="3">
        <v>0</v>
      </c>
      <c r="J40" s="3"/>
      <c r="K40" s="2">
        <f t="shared" si="3"/>
        <v>0</v>
      </c>
      <c r="L40" s="2"/>
      <c r="P40" s="2"/>
    </row>
    <row r="41" spans="1:16" s="1" customFormat="1" ht="15.75" customHeight="1">
      <c r="A41" s="30"/>
      <c r="B41" s="25"/>
      <c r="C41" s="28"/>
      <c r="D41" s="45">
        <f t="shared" si="4"/>
        <v>28644</v>
      </c>
      <c r="E41" s="27" t="s">
        <v>62</v>
      </c>
      <c r="F41" s="39">
        <v>19040000</v>
      </c>
      <c r="G41" s="141"/>
      <c r="H41" s="142"/>
      <c r="I41" s="3">
        <v>28644</v>
      </c>
      <c r="J41" s="3"/>
      <c r="K41" s="2">
        <f t="shared" si="3"/>
        <v>28644</v>
      </c>
      <c r="L41" s="2"/>
      <c r="P41" s="2"/>
    </row>
    <row r="42" spans="1:16" s="1" customFormat="1" ht="15.75" customHeight="1">
      <c r="A42" s="30"/>
      <c r="B42" s="25"/>
      <c r="C42" s="28"/>
      <c r="D42" s="45">
        <f t="shared" si="4"/>
        <v>1258.46</v>
      </c>
      <c r="E42" s="27" t="s">
        <v>36</v>
      </c>
      <c r="F42" s="39">
        <v>11043002</v>
      </c>
      <c r="G42" s="141">
        <v>945.18</v>
      </c>
      <c r="H42" s="142"/>
      <c r="I42" s="3">
        <v>313.28</v>
      </c>
      <c r="J42" s="3"/>
      <c r="K42" s="2">
        <f t="shared" si="3"/>
        <v>1258.46</v>
      </c>
      <c r="L42" s="2"/>
      <c r="P42" s="2"/>
    </row>
    <row r="43" spans="1:16" s="1" customFormat="1" ht="15.75" customHeight="1">
      <c r="A43" s="30"/>
      <c r="B43" s="25"/>
      <c r="C43" s="28"/>
      <c r="D43" s="45">
        <f t="shared" si="4"/>
        <v>25400</v>
      </c>
      <c r="E43" s="27" t="s">
        <v>95</v>
      </c>
      <c r="F43" s="39">
        <v>11069999</v>
      </c>
      <c r="G43" s="141"/>
      <c r="H43" s="142"/>
      <c r="I43" s="3">
        <v>25400</v>
      </c>
      <c r="J43" s="3"/>
      <c r="K43" s="2">
        <f t="shared" si="3"/>
        <v>25400</v>
      </c>
      <c r="L43" s="2"/>
      <c r="P43" s="2"/>
    </row>
    <row r="44" spans="1:16" s="1" customFormat="1" ht="15.75" customHeight="1">
      <c r="A44" s="30"/>
      <c r="B44" s="25"/>
      <c r="C44" s="28"/>
      <c r="D44" s="45">
        <f t="shared" si="4"/>
        <v>28644</v>
      </c>
      <c r="E44" s="27" t="s">
        <v>63</v>
      </c>
      <c r="F44" s="39">
        <v>29010000</v>
      </c>
      <c r="G44" s="141">
        <v>28644</v>
      </c>
      <c r="H44" s="142"/>
      <c r="I44" s="3">
        <v>0</v>
      </c>
      <c r="J44" s="3"/>
      <c r="K44" s="2">
        <f t="shared" si="3"/>
        <v>28644</v>
      </c>
      <c r="L44" s="2"/>
      <c r="P44" s="2"/>
    </row>
    <row r="45" spans="1:16" s="1" customFormat="1" ht="15.75" customHeight="1">
      <c r="A45" s="30"/>
      <c r="B45" s="25"/>
      <c r="C45" s="28"/>
      <c r="D45" s="45">
        <f t="shared" si="4"/>
        <v>70000</v>
      </c>
      <c r="E45" s="27" t="s">
        <v>45</v>
      </c>
      <c r="F45" s="39">
        <v>11045000</v>
      </c>
      <c r="G45" s="141">
        <v>60000</v>
      </c>
      <c r="H45" s="142"/>
      <c r="I45" s="3">
        <v>10000</v>
      </c>
      <c r="J45" s="3"/>
      <c r="K45" s="2">
        <f t="shared" si="3"/>
        <v>70000</v>
      </c>
      <c r="L45" s="2"/>
      <c r="P45" s="2"/>
    </row>
    <row r="46" spans="1:16" s="1" customFormat="1" ht="15.75" customHeight="1">
      <c r="A46" s="30"/>
      <c r="B46" s="25"/>
      <c r="C46" s="28"/>
      <c r="D46" s="45">
        <f t="shared" si="4"/>
        <v>971561</v>
      </c>
      <c r="E46" s="27" t="s">
        <v>61</v>
      </c>
      <c r="F46" s="39">
        <v>11042000</v>
      </c>
      <c r="G46" s="141"/>
      <c r="H46" s="142"/>
      <c r="I46" s="3">
        <v>971561</v>
      </c>
      <c r="J46" s="3"/>
      <c r="K46" s="2">
        <f t="shared" si="3"/>
        <v>971561</v>
      </c>
      <c r="L46" s="2"/>
      <c r="P46" s="2"/>
    </row>
    <row r="47" spans="1:16" s="1" customFormat="1" ht="15.75" customHeight="1">
      <c r="A47" s="30"/>
      <c r="B47" s="25"/>
      <c r="C47" s="28"/>
      <c r="D47" s="45">
        <f t="shared" si="4"/>
        <v>0</v>
      </c>
      <c r="E47" s="27" t="s">
        <v>27</v>
      </c>
      <c r="F47" s="39">
        <v>21010000</v>
      </c>
      <c r="G47" s="141"/>
      <c r="H47" s="142"/>
      <c r="I47" s="3">
        <v>0</v>
      </c>
      <c r="J47" s="3"/>
      <c r="K47" s="2">
        <f t="shared" si="3"/>
        <v>0</v>
      </c>
      <c r="L47" s="2"/>
      <c r="P47" s="2"/>
    </row>
    <row r="48" spans="1:16" s="1" customFormat="1" ht="15.75" customHeight="1">
      <c r="A48" s="30"/>
      <c r="B48" s="25"/>
      <c r="C48" s="28"/>
      <c r="D48" s="45">
        <f t="shared" si="4"/>
        <v>0</v>
      </c>
      <c r="E48" s="27" t="s">
        <v>38</v>
      </c>
      <c r="F48" s="39">
        <v>21030000</v>
      </c>
      <c r="G48" s="141">
        <v>0</v>
      </c>
      <c r="H48" s="142"/>
      <c r="I48" s="3">
        <v>0</v>
      </c>
      <c r="J48" s="3"/>
      <c r="K48" s="2">
        <f t="shared" si="3"/>
        <v>0</v>
      </c>
      <c r="L48" s="2"/>
      <c r="P48" s="2"/>
    </row>
    <row r="49" spans="1:16" s="1" customFormat="1" ht="15.75" customHeight="1">
      <c r="A49" s="30"/>
      <c r="B49" s="25"/>
      <c r="C49" s="28"/>
      <c r="D49" s="45">
        <f t="shared" si="4"/>
        <v>19063</v>
      </c>
      <c r="E49" s="27" t="s">
        <v>66</v>
      </c>
      <c r="F49" s="39">
        <v>21040016</v>
      </c>
      <c r="G49" s="141">
        <v>18000</v>
      </c>
      <c r="H49" s="142"/>
      <c r="I49" s="3">
        <v>1063</v>
      </c>
      <c r="J49" s="3"/>
      <c r="K49" s="2">
        <f t="shared" si="3"/>
        <v>19063</v>
      </c>
      <c r="L49" s="2"/>
      <c r="P49" s="2"/>
    </row>
    <row r="50" spans="1:16" s="1" customFormat="1" ht="15.75" customHeight="1">
      <c r="A50" s="30"/>
      <c r="B50" s="25"/>
      <c r="C50" s="28"/>
      <c r="D50" s="45">
        <f t="shared" si="4"/>
        <v>0</v>
      </c>
      <c r="E50" s="26" t="s">
        <v>15</v>
      </c>
      <c r="F50" s="39">
        <v>31000000</v>
      </c>
      <c r="G50" s="141"/>
      <c r="H50" s="142"/>
      <c r="I50" s="3">
        <v>0</v>
      </c>
      <c r="J50" s="3"/>
      <c r="K50" s="2">
        <f t="shared" si="3"/>
        <v>0</v>
      </c>
      <c r="L50" s="2"/>
      <c r="P50" s="2"/>
    </row>
    <row r="51" spans="1:16" s="1" customFormat="1" ht="15.75" customHeight="1">
      <c r="A51" s="30"/>
      <c r="B51" s="26"/>
      <c r="C51" s="24"/>
      <c r="D51" s="45">
        <f t="shared" si="4"/>
        <v>0</v>
      </c>
      <c r="E51" s="27" t="s">
        <v>42</v>
      </c>
      <c r="F51" s="39">
        <v>32000000</v>
      </c>
      <c r="G51" s="151">
        <v>0</v>
      </c>
      <c r="H51" s="152"/>
      <c r="I51" s="3">
        <v>0</v>
      </c>
      <c r="J51" s="3"/>
      <c r="K51" s="2">
        <f>G51+I51</f>
        <v>0</v>
      </c>
      <c r="L51" s="2"/>
      <c r="P51" s="2"/>
    </row>
    <row r="52" spans="1:16" s="1" customFormat="1" ht="15.75" customHeight="1">
      <c r="A52" s="30"/>
      <c r="B52" s="26"/>
      <c r="C52" s="24"/>
      <c r="D52" s="49">
        <f>SUM(D38:D51)</f>
        <v>1955741.68</v>
      </c>
      <c r="E52" s="24"/>
      <c r="F52" s="50"/>
      <c r="G52" s="153">
        <f>SUM(G38:G51)</f>
        <v>562795.49</v>
      </c>
      <c r="H52" s="154"/>
      <c r="I52" s="3">
        <f>SUM(I38:I51)</f>
        <v>1392946.19</v>
      </c>
      <c r="K52" s="6">
        <f>SUM(K18:K50)</f>
        <v>3073423.3899999997</v>
      </c>
      <c r="L52" s="6"/>
      <c r="P52" s="2"/>
    </row>
    <row r="53" spans="1:16" s="1" customFormat="1" ht="15.75" customHeight="1">
      <c r="A53" s="100">
        <f>A37</f>
        <v>82000000</v>
      </c>
      <c r="B53" s="94">
        <f>SUM(B37)</f>
        <v>0</v>
      </c>
      <c r="C53" s="94">
        <f>SUM(C37)</f>
        <v>0</v>
      </c>
      <c r="D53" s="51">
        <f>D16+D36+D52</f>
        <v>18453613.21</v>
      </c>
      <c r="E53" s="42" t="s">
        <v>25</v>
      </c>
      <c r="F53" s="50"/>
      <c r="G53" s="153">
        <f>G16+G36+G52</f>
        <v>1582545.2</v>
      </c>
      <c r="H53" s="154"/>
      <c r="P53" s="2"/>
    </row>
    <row r="54" spans="1:16" s="1" customFormat="1" ht="15.75" customHeight="1">
      <c r="A54" s="108"/>
      <c r="B54" s="109"/>
      <c r="C54" s="109"/>
      <c r="D54" s="110"/>
      <c r="E54" s="41"/>
      <c r="F54" s="50"/>
      <c r="G54" s="111"/>
      <c r="H54" s="111"/>
      <c r="P54" s="2"/>
    </row>
    <row r="55" spans="1:10" ht="18" customHeight="1">
      <c r="A55" s="155" t="s">
        <v>28</v>
      </c>
      <c r="B55" s="155"/>
      <c r="C55" s="155"/>
      <c r="D55" s="155"/>
      <c r="E55" s="155"/>
      <c r="F55" s="155"/>
      <c r="G55" s="155"/>
      <c r="H55" s="155"/>
      <c r="I55" s="13"/>
      <c r="J55" s="13"/>
    </row>
    <row r="56" spans="1:16" s="1" customFormat="1" ht="15" customHeight="1">
      <c r="A56" s="179" t="s">
        <v>0</v>
      </c>
      <c r="B56" s="180"/>
      <c r="C56" s="180"/>
      <c r="D56" s="180"/>
      <c r="E56" s="181" t="s">
        <v>1</v>
      </c>
      <c r="F56" s="112"/>
      <c r="G56" s="113" t="s">
        <v>2</v>
      </c>
      <c r="H56" s="114"/>
      <c r="P56" s="2"/>
    </row>
    <row r="57" spans="1:16" s="1" customFormat="1" ht="13.5" customHeight="1">
      <c r="A57" s="115"/>
      <c r="B57" s="116" t="s">
        <v>57</v>
      </c>
      <c r="C57" s="116" t="s">
        <v>47</v>
      </c>
      <c r="D57" s="41" t="s">
        <v>48</v>
      </c>
      <c r="E57" s="182"/>
      <c r="F57" s="127" t="s">
        <v>98</v>
      </c>
      <c r="G57" s="184" t="s">
        <v>48</v>
      </c>
      <c r="H57" s="185"/>
      <c r="P57" s="2"/>
    </row>
    <row r="58" spans="1:16" s="1" customFormat="1" ht="13.5" customHeight="1">
      <c r="A58" s="119" t="s">
        <v>43</v>
      </c>
      <c r="B58" s="120" t="s">
        <v>58</v>
      </c>
      <c r="C58" s="42" t="s">
        <v>49</v>
      </c>
      <c r="D58" s="41" t="s">
        <v>49</v>
      </c>
      <c r="E58" s="182"/>
      <c r="F58" s="127" t="s">
        <v>99</v>
      </c>
      <c r="G58" s="117"/>
      <c r="H58" s="118"/>
      <c r="P58" s="2"/>
    </row>
    <row r="59" spans="1:16" s="1" customFormat="1" ht="13.5" customHeight="1" thickBot="1">
      <c r="A59" s="121" t="s">
        <v>49</v>
      </c>
      <c r="B59" s="122" t="s">
        <v>50</v>
      </c>
      <c r="C59" s="122"/>
      <c r="D59" s="123"/>
      <c r="E59" s="183"/>
      <c r="F59" s="124"/>
      <c r="G59" s="125" t="s">
        <v>3</v>
      </c>
      <c r="H59" s="126"/>
      <c r="P59" s="2"/>
    </row>
    <row r="60" spans="1:16" s="1" customFormat="1" ht="19.5" customHeight="1" thickTop="1">
      <c r="A60" s="74"/>
      <c r="B60" s="24"/>
      <c r="C60" s="26"/>
      <c r="D60" s="36"/>
      <c r="E60" s="35" t="s">
        <v>56</v>
      </c>
      <c r="F60" s="39"/>
      <c r="G60" s="137"/>
      <c r="H60" s="138"/>
      <c r="I60" s="1" t="s">
        <v>31</v>
      </c>
      <c r="K60" s="1" t="s">
        <v>26</v>
      </c>
      <c r="L60" s="7" t="s">
        <v>44</v>
      </c>
      <c r="P60" s="2"/>
    </row>
    <row r="61" spans="1:16" s="1" customFormat="1" ht="19.5" customHeight="1">
      <c r="A61" s="46">
        <v>19521070</v>
      </c>
      <c r="B61" s="70">
        <v>85932</v>
      </c>
      <c r="C61" s="69">
        <f>SUM(A61:B61)</f>
        <v>19607002</v>
      </c>
      <c r="D61" s="38">
        <f>K61</f>
        <v>3266567</v>
      </c>
      <c r="E61" s="24" t="s">
        <v>29</v>
      </c>
      <c r="F61" s="39" t="s">
        <v>85</v>
      </c>
      <c r="G61" s="141">
        <f>1799879-1200+28644</f>
        <v>1827323</v>
      </c>
      <c r="H61" s="142"/>
      <c r="I61" s="3">
        <v>1439244</v>
      </c>
      <c r="J61" s="3"/>
      <c r="K61" s="8">
        <f aca="true" t="shared" si="5" ref="K61:K71">G61+I61</f>
        <v>3266567</v>
      </c>
      <c r="L61" s="9">
        <f>C61-D61</f>
        <v>16340435</v>
      </c>
      <c r="P61" s="2"/>
    </row>
    <row r="62" spans="1:16" s="1" customFormat="1" ht="19.5" customHeight="1">
      <c r="A62" s="46">
        <v>3598300</v>
      </c>
      <c r="B62" s="70">
        <v>0</v>
      </c>
      <c r="C62" s="69">
        <f aca="true" t="shared" si="6" ref="C62:C71">SUM(A62:B62)</f>
        <v>3598300</v>
      </c>
      <c r="D62" s="38">
        <f aca="true" t="shared" si="7" ref="D62:D68">K62</f>
        <v>599700</v>
      </c>
      <c r="E62" s="24" t="s">
        <v>76</v>
      </c>
      <c r="F62" s="39" t="s">
        <v>86</v>
      </c>
      <c r="G62" s="141">
        <v>299850</v>
      </c>
      <c r="H62" s="142"/>
      <c r="I62" s="3">
        <v>299850</v>
      </c>
      <c r="J62" s="3"/>
      <c r="K62" s="8">
        <f t="shared" si="5"/>
        <v>599700</v>
      </c>
      <c r="L62" s="9">
        <f aca="true" t="shared" si="8" ref="L62:L71">C62-D62</f>
        <v>2998600</v>
      </c>
      <c r="P62" s="2"/>
    </row>
    <row r="63" spans="1:16" s="1" customFormat="1" ht="19.5" customHeight="1">
      <c r="A63" s="45">
        <f>6538000+2380100+697900+8345300+3170100</f>
        <v>21131400</v>
      </c>
      <c r="B63" s="70">
        <v>0</v>
      </c>
      <c r="C63" s="69">
        <f t="shared" si="6"/>
        <v>21131400</v>
      </c>
      <c r="D63" s="38">
        <f t="shared" si="7"/>
        <v>2837990</v>
      </c>
      <c r="E63" s="24" t="s">
        <v>77</v>
      </c>
      <c r="F63" s="39" t="s">
        <v>87</v>
      </c>
      <c r="G63" s="141">
        <f>813680+628195-8020</f>
        <v>1433855</v>
      </c>
      <c r="H63" s="142"/>
      <c r="I63" s="3">
        <v>1404135</v>
      </c>
      <c r="J63" s="3"/>
      <c r="K63" s="8">
        <f t="shared" si="5"/>
        <v>2837990</v>
      </c>
      <c r="L63" s="9">
        <f t="shared" si="8"/>
        <v>18293410</v>
      </c>
      <c r="P63" s="2"/>
    </row>
    <row r="64" spans="1:16" s="1" customFormat="1" ht="19.5" customHeight="1">
      <c r="A64" s="46">
        <f>447200+370000+195000+96000+174000</f>
        <v>1282200</v>
      </c>
      <c r="B64" s="70">
        <v>0</v>
      </c>
      <c r="C64" s="69">
        <f t="shared" si="6"/>
        <v>1282200</v>
      </c>
      <c r="D64" s="38">
        <f t="shared" si="7"/>
        <v>113480</v>
      </c>
      <c r="E64" s="24" t="s">
        <v>9</v>
      </c>
      <c r="F64" s="39" t="s">
        <v>88</v>
      </c>
      <c r="G64" s="141">
        <f>59680+4000</f>
        <v>63680</v>
      </c>
      <c r="H64" s="142"/>
      <c r="I64" s="3">
        <v>49800</v>
      </c>
      <c r="J64" s="3"/>
      <c r="K64" s="8">
        <f t="shared" si="5"/>
        <v>113480</v>
      </c>
      <c r="L64" s="9">
        <f t="shared" si="8"/>
        <v>1168720</v>
      </c>
      <c r="P64" s="2"/>
    </row>
    <row r="65" spans="1:16" s="1" customFormat="1" ht="19.5" customHeight="1">
      <c r="A65" s="46">
        <f>2969000+630000+1315000+360000+3572450+837000+280000+150000+140000+30000</f>
        <v>10283450</v>
      </c>
      <c r="B65" s="70">
        <v>0</v>
      </c>
      <c r="C65" s="69">
        <f t="shared" si="6"/>
        <v>10283450</v>
      </c>
      <c r="D65" s="38">
        <f t="shared" si="7"/>
        <v>1155311.45</v>
      </c>
      <c r="E65" s="24" t="s">
        <v>10</v>
      </c>
      <c r="F65" s="39" t="s">
        <v>89</v>
      </c>
      <c r="G65" s="141">
        <f>65880+18000+1046297.45</f>
        <v>1130177.45</v>
      </c>
      <c r="H65" s="142"/>
      <c r="I65" s="3">
        <v>25134</v>
      </c>
      <c r="J65" s="3"/>
      <c r="K65" s="8">
        <f t="shared" si="5"/>
        <v>1155311.45</v>
      </c>
      <c r="L65" s="9">
        <f t="shared" si="8"/>
        <v>9128138.55</v>
      </c>
      <c r="P65" s="2"/>
    </row>
    <row r="66" spans="1:16" s="1" customFormat="1" ht="19.5" customHeight="1">
      <c r="A66" s="46">
        <f>1095000+265000+250000+389500+2608000+1420000</f>
        <v>6027500</v>
      </c>
      <c r="B66" s="70">
        <v>0</v>
      </c>
      <c r="C66" s="69">
        <f t="shared" si="6"/>
        <v>6027500</v>
      </c>
      <c r="D66" s="38">
        <f t="shared" si="7"/>
        <v>150302.1</v>
      </c>
      <c r="E66" s="24" t="s">
        <v>11</v>
      </c>
      <c r="F66" s="39" t="s">
        <v>90</v>
      </c>
      <c r="G66" s="141">
        <v>150302.1</v>
      </c>
      <c r="H66" s="142"/>
      <c r="I66" s="3">
        <v>0</v>
      </c>
      <c r="J66" s="3"/>
      <c r="K66" s="8">
        <f t="shared" si="5"/>
        <v>150302.1</v>
      </c>
      <c r="L66" s="9">
        <f t="shared" si="8"/>
        <v>5877197.9</v>
      </c>
      <c r="P66" s="2"/>
    </row>
    <row r="67" spans="1:16" s="1" customFormat="1" ht="19.5" customHeight="1">
      <c r="A67" s="46">
        <f>695000+298000+71000</f>
        <v>1064000</v>
      </c>
      <c r="B67" s="70">
        <v>0</v>
      </c>
      <c r="C67" s="69">
        <f t="shared" si="6"/>
        <v>1064000</v>
      </c>
      <c r="D67" s="38">
        <f t="shared" si="7"/>
        <v>145552.02</v>
      </c>
      <c r="E67" s="24" t="s">
        <v>12</v>
      </c>
      <c r="F67" s="39" t="s">
        <v>91</v>
      </c>
      <c r="G67" s="156">
        <v>144237.02</v>
      </c>
      <c r="H67" s="157"/>
      <c r="I67" s="3">
        <v>1315</v>
      </c>
      <c r="J67" s="3"/>
      <c r="K67" s="8">
        <f t="shared" si="5"/>
        <v>145552.02</v>
      </c>
      <c r="L67" s="9">
        <f t="shared" si="8"/>
        <v>918447.98</v>
      </c>
      <c r="P67" s="2"/>
    </row>
    <row r="68" spans="1:16" s="1" customFormat="1" ht="19.5" customHeight="1">
      <c r="A68" s="97">
        <f>320000+3928000+51080+400000+30000</f>
        <v>4729080</v>
      </c>
      <c r="B68" s="70">
        <v>0</v>
      </c>
      <c r="C68" s="69">
        <f t="shared" si="6"/>
        <v>4729080</v>
      </c>
      <c r="D68" s="38">
        <f t="shared" si="7"/>
        <v>955000</v>
      </c>
      <c r="E68" s="24" t="s">
        <v>8</v>
      </c>
      <c r="F68" s="39" t="s">
        <v>92</v>
      </c>
      <c r="G68" s="139">
        <v>955000</v>
      </c>
      <c r="H68" s="140"/>
      <c r="I68" s="3">
        <v>0</v>
      </c>
      <c r="J68" s="3"/>
      <c r="K68" s="8">
        <f t="shared" si="5"/>
        <v>955000</v>
      </c>
      <c r="L68" s="9">
        <f t="shared" si="8"/>
        <v>3774080</v>
      </c>
      <c r="P68" s="2"/>
    </row>
    <row r="69" spans="1:16" s="1" customFormat="1" ht="19.5" customHeight="1">
      <c r="A69" s="45">
        <f>651600+139700+302600+316000+4125100</f>
        <v>5535000</v>
      </c>
      <c r="B69" s="70">
        <v>0</v>
      </c>
      <c r="C69" s="69">
        <f t="shared" si="6"/>
        <v>5535000</v>
      </c>
      <c r="D69" s="38">
        <f>K69</f>
        <v>0</v>
      </c>
      <c r="E69" s="24" t="s">
        <v>13</v>
      </c>
      <c r="F69" s="39" t="s">
        <v>93</v>
      </c>
      <c r="G69" s="141">
        <v>0</v>
      </c>
      <c r="H69" s="142"/>
      <c r="I69" s="3">
        <v>0</v>
      </c>
      <c r="J69" s="3"/>
      <c r="K69" s="8">
        <f t="shared" si="5"/>
        <v>0</v>
      </c>
      <c r="L69" s="9">
        <f t="shared" si="8"/>
        <v>5535000</v>
      </c>
      <c r="P69" s="2"/>
    </row>
    <row r="70" spans="1:16" s="1" customFormat="1" ht="19.5" customHeight="1">
      <c r="A70" s="98">
        <f>450000+8378000</f>
        <v>8828000</v>
      </c>
      <c r="B70" s="70">
        <v>0</v>
      </c>
      <c r="C70" s="69">
        <f t="shared" si="6"/>
        <v>8828000</v>
      </c>
      <c r="D70" s="38">
        <f>K70</f>
        <v>0</v>
      </c>
      <c r="E70" s="24" t="s">
        <v>14</v>
      </c>
      <c r="F70" s="39">
        <v>54200000</v>
      </c>
      <c r="G70" s="141">
        <v>0</v>
      </c>
      <c r="H70" s="142"/>
      <c r="I70" s="3">
        <v>0</v>
      </c>
      <c r="J70" s="3"/>
      <c r="K70" s="8">
        <f t="shared" si="5"/>
        <v>0</v>
      </c>
      <c r="L70" s="9">
        <f t="shared" si="8"/>
        <v>8828000</v>
      </c>
      <c r="P70" s="2"/>
    </row>
    <row r="71" spans="1:16" s="1" customFormat="1" ht="19.5" customHeight="1">
      <c r="A71" s="98">
        <v>0</v>
      </c>
      <c r="B71" s="70">
        <v>0</v>
      </c>
      <c r="C71" s="69">
        <f t="shared" si="6"/>
        <v>0</v>
      </c>
      <c r="D71" s="38">
        <f>K71</f>
        <v>0</v>
      </c>
      <c r="E71" s="31" t="s">
        <v>94</v>
      </c>
      <c r="F71" s="39">
        <v>55000000</v>
      </c>
      <c r="G71" s="147">
        <v>0</v>
      </c>
      <c r="H71" s="148"/>
      <c r="I71" s="3">
        <v>0</v>
      </c>
      <c r="J71" s="3"/>
      <c r="K71" s="8">
        <f t="shared" si="5"/>
        <v>0</v>
      </c>
      <c r="L71" s="9">
        <f t="shared" si="8"/>
        <v>0</v>
      </c>
      <c r="P71" s="2"/>
    </row>
    <row r="72" spans="1:16" s="1" customFormat="1" ht="19.5" customHeight="1" thickBot="1">
      <c r="A72" s="75"/>
      <c r="B72" s="42"/>
      <c r="C72" s="52"/>
      <c r="D72" s="53">
        <f>SUM(D60:D70)</f>
        <v>9223902.57</v>
      </c>
      <c r="E72" s="31"/>
      <c r="F72" s="28"/>
      <c r="G72" s="158">
        <f>SUM(G60:G70)</f>
        <v>6004424.569999999</v>
      </c>
      <c r="H72" s="159"/>
      <c r="I72" s="4">
        <f>SUM(I61:I71)</f>
        <v>3219478</v>
      </c>
      <c r="K72" s="3"/>
      <c r="L72" s="3">
        <f>SUM(L61:L70)</f>
        <v>72862029.42999999</v>
      </c>
      <c r="P72" s="2"/>
    </row>
    <row r="73" spans="1:16" s="1" customFormat="1" ht="19.5" customHeight="1" thickTop="1">
      <c r="A73" s="30"/>
      <c r="B73" s="24"/>
      <c r="C73" s="27"/>
      <c r="D73" s="45">
        <f>K73</f>
        <v>0</v>
      </c>
      <c r="E73" s="27" t="s">
        <v>15</v>
      </c>
      <c r="F73" s="28">
        <v>31000000</v>
      </c>
      <c r="G73" s="151"/>
      <c r="H73" s="152"/>
      <c r="I73" s="3">
        <v>0</v>
      </c>
      <c r="J73" s="3"/>
      <c r="K73" s="2">
        <f aca="true" t="shared" si="9" ref="K73:K86">G73+I73</f>
        <v>0</v>
      </c>
      <c r="L73" s="2"/>
      <c r="P73" s="2"/>
    </row>
    <row r="74" spans="1:16" s="1" customFormat="1" ht="19.5" customHeight="1">
      <c r="A74" s="30"/>
      <c r="B74" s="24"/>
      <c r="C74" s="27"/>
      <c r="D74" s="45">
        <f>K74</f>
        <v>28644</v>
      </c>
      <c r="E74" s="27" t="s">
        <v>63</v>
      </c>
      <c r="F74" s="28">
        <v>29010000</v>
      </c>
      <c r="G74" s="151"/>
      <c r="H74" s="152"/>
      <c r="I74" s="3">
        <v>28644</v>
      </c>
      <c r="J74" s="3"/>
      <c r="K74" s="2">
        <f t="shared" si="9"/>
        <v>28644</v>
      </c>
      <c r="L74" s="2"/>
      <c r="P74" s="2"/>
    </row>
    <row r="75" spans="1:16" s="1" customFormat="1" ht="19.5" customHeight="1">
      <c r="A75" s="30"/>
      <c r="B75" s="24"/>
      <c r="C75" s="27"/>
      <c r="D75" s="45">
        <f aca="true" t="shared" si="10" ref="D75:D86">K75</f>
        <v>98910</v>
      </c>
      <c r="E75" s="27" t="s">
        <v>65</v>
      </c>
      <c r="F75" s="39">
        <v>11041000</v>
      </c>
      <c r="G75" s="151">
        <v>94476</v>
      </c>
      <c r="H75" s="152"/>
      <c r="I75" s="3">
        <v>4434</v>
      </c>
      <c r="J75" s="3"/>
      <c r="K75" s="2">
        <f t="shared" si="9"/>
        <v>98910</v>
      </c>
      <c r="L75" s="2">
        <v>25968108</v>
      </c>
      <c r="P75" s="2"/>
    </row>
    <row r="76" spans="1:16" s="1" customFormat="1" ht="19.5" customHeight="1">
      <c r="A76" s="30"/>
      <c r="B76" s="24"/>
      <c r="C76" s="27"/>
      <c r="D76" s="45">
        <f t="shared" si="10"/>
        <v>0</v>
      </c>
      <c r="E76" s="27" t="s">
        <v>30</v>
      </c>
      <c r="F76" s="39">
        <v>11047000</v>
      </c>
      <c r="G76" s="151">
        <v>0</v>
      </c>
      <c r="H76" s="152"/>
      <c r="I76" s="3">
        <v>0</v>
      </c>
      <c r="J76" s="3"/>
      <c r="K76" s="2">
        <f t="shared" si="9"/>
        <v>0</v>
      </c>
      <c r="L76" s="2" t="e">
        <f>#REF!-L75</f>
        <v>#REF!</v>
      </c>
      <c r="P76" s="2"/>
    </row>
    <row r="77" spans="1:16" s="1" customFormat="1" ht="19.5" customHeight="1">
      <c r="A77" s="30"/>
      <c r="B77" s="24"/>
      <c r="C77" s="26"/>
      <c r="D77" s="45">
        <f t="shared" si="10"/>
        <v>0</v>
      </c>
      <c r="E77" s="24" t="s">
        <v>36</v>
      </c>
      <c r="F77" s="39">
        <v>11043002</v>
      </c>
      <c r="G77" s="151"/>
      <c r="H77" s="152"/>
      <c r="I77" s="3">
        <v>0</v>
      </c>
      <c r="J77" s="3"/>
      <c r="K77" s="2">
        <f t="shared" si="9"/>
        <v>0</v>
      </c>
      <c r="L77" s="2"/>
      <c r="P77" s="2"/>
    </row>
    <row r="78" spans="1:16" s="1" customFormat="1" ht="19.5" customHeight="1">
      <c r="A78" s="30"/>
      <c r="B78" s="24"/>
      <c r="C78" s="26"/>
      <c r="D78" s="45">
        <f t="shared" si="10"/>
        <v>0</v>
      </c>
      <c r="E78" s="24" t="s">
        <v>39</v>
      </c>
      <c r="F78" s="39">
        <v>11043003</v>
      </c>
      <c r="G78" s="151">
        <v>0</v>
      </c>
      <c r="H78" s="152"/>
      <c r="I78" s="3">
        <v>0</v>
      </c>
      <c r="J78" s="3"/>
      <c r="K78" s="2">
        <f t="shared" si="9"/>
        <v>0</v>
      </c>
      <c r="L78" s="2"/>
      <c r="P78" s="2"/>
    </row>
    <row r="79" spans="1:16" s="1" customFormat="1" ht="19.5" customHeight="1">
      <c r="A79" s="30"/>
      <c r="B79" s="24"/>
      <c r="C79" s="26"/>
      <c r="D79" s="45">
        <f t="shared" si="10"/>
        <v>0</v>
      </c>
      <c r="E79" s="27" t="s">
        <v>45</v>
      </c>
      <c r="F79" s="39">
        <v>11045000</v>
      </c>
      <c r="G79" s="151"/>
      <c r="H79" s="152"/>
      <c r="I79" s="3">
        <v>0</v>
      </c>
      <c r="J79" s="3"/>
      <c r="K79" s="2">
        <f t="shared" si="9"/>
        <v>0</v>
      </c>
      <c r="L79" s="2"/>
      <c r="P79" s="2"/>
    </row>
    <row r="80" spans="1:16" s="1" customFormat="1" ht="19.5" customHeight="1">
      <c r="A80" s="30"/>
      <c r="B80" s="24"/>
      <c r="C80" s="26"/>
      <c r="D80" s="45">
        <f t="shared" si="10"/>
        <v>28644</v>
      </c>
      <c r="E80" s="24" t="s">
        <v>62</v>
      </c>
      <c r="F80" s="39">
        <v>19040000</v>
      </c>
      <c r="G80" s="151">
        <v>28644</v>
      </c>
      <c r="H80" s="152"/>
      <c r="I80" s="3">
        <v>0</v>
      </c>
      <c r="J80" s="3"/>
      <c r="K80" s="2">
        <f t="shared" si="9"/>
        <v>28644</v>
      </c>
      <c r="L80" s="2"/>
      <c r="P80" s="2"/>
    </row>
    <row r="81" spans="1:16" s="1" customFormat="1" ht="15.75" customHeight="1">
      <c r="A81" s="30"/>
      <c r="B81" s="25"/>
      <c r="C81" s="28"/>
      <c r="D81" s="45">
        <f>K81</f>
        <v>0</v>
      </c>
      <c r="E81" s="27" t="s">
        <v>95</v>
      </c>
      <c r="F81" s="39">
        <v>11069999</v>
      </c>
      <c r="G81" s="141"/>
      <c r="H81" s="142"/>
      <c r="I81" s="3">
        <v>0</v>
      </c>
      <c r="J81" s="3"/>
      <c r="K81" s="2">
        <f>SUM(G81+I81)</f>
        <v>0</v>
      </c>
      <c r="L81" s="2"/>
      <c r="P81" s="2"/>
    </row>
    <row r="82" spans="1:16" s="1" customFormat="1" ht="19.5" customHeight="1">
      <c r="A82" s="24"/>
      <c r="B82" s="24"/>
      <c r="C82" s="26"/>
      <c r="D82" s="45">
        <f>K82</f>
        <v>0</v>
      </c>
      <c r="E82" s="24" t="s">
        <v>61</v>
      </c>
      <c r="F82" s="39">
        <v>11042000</v>
      </c>
      <c r="G82" s="151"/>
      <c r="H82" s="152"/>
      <c r="I82" s="3">
        <v>0</v>
      </c>
      <c r="J82" s="3"/>
      <c r="K82" s="2">
        <f t="shared" si="9"/>
        <v>0</v>
      </c>
      <c r="L82" s="2"/>
      <c r="P82" s="2"/>
    </row>
    <row r="83" spans="1:16" s="1" customFormat="1" ht="19.5" customHeight="1">
      <c r="A83" s="24"/>
      <c r="B83" s="24"/>
      <c r="C83" s="26"/>
      <c r="D83" s="45">
        <f t="shared" si="10"/>
        <v>759675.9</v>
      </c>
      <c r="E83" s="24" t="s">
        <v>33</v>
      </c>
      <c r="F83" s="28">
        <v>21040000</v>
      </c>
      <c r="G83" s="151">
        <v>366176.63</v>
      </c>
      <c r="H83" s="152"/>
      <c r="I83" s="3">
        <v>393499.27</v>
      </c>
      <c r="J83" s="3"/>
      <c r="K83" s="2">
        <f t="shared" si="9"/>
        <v>759675.9</v>
      </c>
      <c r="L83" s="2"/>
      <c r="P83" s="2"/>
    </row>
    <row r="84" spans="1:16" s="1" customFormat="1" ht="19.5" customHeight="1">
      <c r="A84" s="24"/>
      <c r="B84" s="24"/>
      <c r="C84" s="26"/>
      <c r="D84" s="45">
        <f t="shared" si="10"/>
        <v>0</v>
      </c>
      <c r="E84" s="24" t="s">
        <v>66</v>
      </c>
      <c r="F84" s="28">
        <v>21040016</v>
      </c>
      <c r="G84" s="151">
        <v>0</v>
      </c>
      <c r="H84" s="152"/>
      <c r="I84" s="3">
        <v>0</v>
      </c>
      <c r="J84" s="3"/>
      <c r="K84" s="2">
        <f t="shared" si="9"/>
        <v>0</v>
      </c>
      <c r="L84" s="2"/>
      <c r="P84" s="2"/>
    </row>
    <row r="85" spans="1:16" s="1" customFormat="1" ht="19.5" customHeight="1">
      <c r="A85" s="24"/>
      <c r="B85" s="24"/>
      <c r="C85" s="26"/>
      <c r="D85" s="45">
        <f t="shared" si="10"/>
        <v>5214645.25</v>
      </c>
      <c r="E85" s="24" t="s">
        <v>37</v>
      </c>
      <c r="F85" s="28">
        <v>21010000</v>
      </c>
      <c r="G85" s="151">
        <v>4004100</v>
      </c>
      <c r="H85" s="152"/>
      <c r="I85" s="3">
        <v>1210545.25</v>
      </c>
      <c r="J85" s="3"/>
      <c r="K85" s="2">
        <f t="shared" si="9"/>
        <v>5214645.25</v>
      </c>
      <c r="L85" s="2"/>
      <c r="P85" s="2"/>
    </row>
    <row r="86" spans="1:16" s="1" customFormat="1" ht="19.5" customHeight="1">
      <c r="A86" s="24"/>
      <c r="B86" s="24"/>
      <c r="C86" s="26"/>
      <c r="D86" s="45">
        <f t="shared" si="10"/>
        <v>3100</v>
      </c>
      <c r="E86" s="24" t="s">
        <v>38</v>
      </c>
      <c r="F86" s="28">
        <v>21030000</v>
      </c>
      <c r="G86" s="151"/>
      <c r="H86" s="152"/>
      <c r="I86" s="3">
        <v>3100</v>
      </c>
      <c r="J86" s="3"/>
      <c r="K86" s="2">
        <f t="shared" si="9"/>
        <v>3100</v>
      </c>
      <c r="L86" s="2"/>
      <c r="P86" s="2"/>
    </row>
    <row r="87" spans="1:16" s="1" customFormat="1" ht="19.5" customHeight="1" thickBot="1">
      <c r="A87" s="29"/>
      <c r="B87" s="24"/>
      <c r="C87" s="26"/>
      <c r="D87" s="82">
        <f>SUM(D73:D86)</f>
        <v>6133619.15</v>
      </c>
      <c r="E87" s="29"/>
      <c r="F87" s="50"/>
      <c r="G87" s="158">
        <f>SUM(G73:G86)</f>
        <v>4493396.63</v>
      </c>
      <c r="H87" s="159"/>
      <c r="I87" s="3">
        <f>SUM(I73:I86)</f>
        <v>1640222.52</v>
      </c>
      <c r="K87" s="3">
        <f>SUM(K73:K86)</f>
        <v>6133619.15</v>
      </c>
      <c r="L87" s="3"/>
      <c r="P87" s="2"/>
    </row>
    <row r="88" spans="1:16" s="1" customFormat="1" ht="19.5" customHeight="1" thickTop="1">
      <c r="A88" s="71">
        <f>SUM(A61:A87)</f>
        <v>82000000</v>
      </c>
      <c r="B88" s="71">
        <f>SUM(B61:B87)</f>
        <v>85932</v>
      </c>
      <c r="C88" s="71">
        <f>SUM(C61:C87)</f>
        <v>82085932</v>
      </c>
      <c r="D88" s="81">
        <f>D72+D87</f>
        <v>15357521.72</v>
      </c>
      <c r="E88" s="56" t="s">
        <v>20</v>
      </c>
      <c r="F88" s="57"/>
      <c r="G88" s="164">
        <f>G72+G87</f>
        <v>10497821.2</v>
      </c>
      <c r="H88" s="165"/>
      <c r="P88" s="2"/>
    </row>
    <row r="89" spans="1:16" s="1" customFormat="1" ht="19.5" customHeight="1">
      <c r="A89" s="58"/>
      <c r="B89" s="58"/>
      <c r="C89" s="58"/>
      <c r="D89" s="59">
        <f>D53-D88</f>
        <v>3096091.49</v>
      </c>
      <c r="E89" s="25" t="s">
        <v>21</v>
      </c>
      <c r="F89" s="50"/>
      <c r="G89" s="166"/>
      <c r="H89" s="167"/>
      <c r="K89" s="1">
        <v>49617015.23</v>
      </c>
      <c r="P89" s="2"/>
    </row>
    <row r="90" spans="1:16" s="1" customFormat="1" ht="19.5" customHeight="1">
      <c r="A90" s="26"/>
      <c r="B90" s="26"/>
      <c r="C90" s="26"/>
      <c r="D90" s="60"/>
      <c r="E90" s="26" t="s">
        <v>22</v>
      </c>
      <c r="F90" s="50"/>
      <c r="G90" s="141"/>
      <c r="H90" s="142"/>
      <c r="K90" s="1">
        <v>49374015.23</v>
      </c>
      <c r="P90" s="2"/>
    </row>
    <row r="91" spans="1:16" s="1" customFormat="1" ht="19.5" customHeight="1">
      <c r="A91" s="26"/>
      <c r="B91" s="26"/>
      <c r="C91" s="26"/>
      <c r="D91" s="61"/>
      <c r="E91" s="26" t="s">
        <v>23</v>
      </c>
      <c r="F91" s="50"/>
      <c r="G91" s="160">
        <f>G53-G88</f>
        <v>-8915276</v>
      </c>
      <c r="H91" s="161"/>
      <c r="K91" s="1">
        <f>K89-K90</f>
        <v>243000</v>
      </c>
      <c r="P91" s="2"/>
    </row>
    <row r="92" spans="1:16" s="1" customFormat="1" ht="19.5" customHeight="1" thickBot="1">
      <c r="A92" s="26"/>
      <c r="B92" s="26"/>
      <c r="C92" s="26"/>
      <c r="D92" s="54">
        <f>D8+D53-D88</f>
        <v>52666827.25999999</v>
      </c>
      <c r="E92" s="25" t="s">
        <v>24</v>
      </c>
      <c r="F92" s="50"/>
      <c r="G92" s="158">
        <f>G8+G53-G88</f>
        <v>52666827.25999999</v>
      </c>
      <c r="H92" s="159"/>
      <c r="I92" s="2">
        <f>21534904.15+4136906.44+819567.16+26175449.51</f>
        <v>52666827.260000005</v>
      </c>
      <c r="J92" s="2"/>
      <c r="K92" s="10">
        <f>G92-I92</f>
        <v>0</v>
      </c>
      <c r="L92" s="10"/>
      <c r="P92" s="2"/>
    </row>
    <row r="93" spans="1:16" s="1" customFormat="1" ht="14.25" customHeight="1" thickTop="1">
      <c r="A93" s="26"/>
      <c r="B93" s="26"/>
      <c r="C93" s="26"/>
      <c r="D93" s="62"/>
      <c r="E93" s="63"/>
      <c r="F93" s="25"/>
      <c r="G93" s="62"/>
      <c r="H93" s="64"/>
      <c r="I93" s="3">
        <f>G92-I92</f>
        <v>0</v>
      </c>
      <c r="J93" s="3"/>
      <c r="K93" s="10">
        <v>55106253.61699999</v>
      </c>
      <c r="L93" s="10"/>
      <c r="P93" s="2"/>
    </row>
    <row r="94" spans="1:16" s="1" customFormat="1" ht="18.75" customHeight="1">
      <c r="A94" s="26"/>
      <c r="B94" s="26"/>
      <c r="C94" s="26"/>
      <c r="D94" s="62"/>
      <c r="E94" s="63"/>
      <c r="F94" s="25"/>
      <c r="G94" s="62"/>
      <c r="H94" s="64"/>
      <c r="I94" s="3"/>
      <c r="J94" s="3"/>
      <c r="K94" s="10"/>
      <c r="L94" s="10"/>
      <c r="P94" s="2"/>
    </row>
    <row r="95" spans="1:16" s="1" customFormat="1" ht="22.5" customHeight="1">
      <c r="A95" s="102" t="s">
        <v>41</v>
      </c>
      <c r="B95" s="103"/>
      <c r="C95" s="103"/>
      <c r="D95" s="162" t="s">
        <v>96</v>
      </c>
      <c r="E95" s="162"/>
      <c r="F95" s="162"/>
      <c r="G95" s="162"/>
      <c r="H95" s="162"/>
      <c r="I95" s="3"/>
      <c r="K95" s="10"/>
      <c r="L95" s="10"/>
      <c r="P95" s="2"/>
    </row>
    <row r="96" spans="1:16" s="1" customFormat="1" ht="22.5" customHeight="1">
      <c r="A96" s="102" t="s">
        <v>64</v>
      </c>
      <c r="B96" s="103"/>
      <c r="C96" s="103"/>
      <c r="D96" s="104" t="s">
        <v>101</v>
      </c>
      <c r="E96" s="104"/>
      <c r="F96" s="104"/>
      <c r="G96" s="104"/>
      <c r="H96" s="64"/>
      <c r="I96" s="3"/>
      <c r="K96" s="10"/>
      <c r="L96" s="10"/>
      <c r="P96" s="2"/>
    </row>
    <row r="97" spans="1:16" s="1" customFormat="1" ht="14.25" customHeight="1">
      <c r="A97" s="105" t="s">
        <v>60</v>
      </c>
      <c r="B97" s="105"/>
      <c r="C97" s="105"/>
      <c r="D97" s="106" t="s">
        <v>103</v>
      </c>
      <c r="F97" s="104"/>
      <c r="G97" s="107"/>
      <c r="H97" s="25"/>
      <c r="K97" s="2"/>
      <c r="L97" s="2"/>
      <c r="P97" s="2"/>
    </row>
    <row r="98" spans="1:16" s="1" customFormat="1" ht="18.75" customHeight="1">
      <c r="A98" s="26"/>
      <c r="B98" s="26"/>
      <c r="C98" s="26"/>
      <c r="D98" s="106" t="s">
        <v>102</v>
      </c>
      <c r="E98" s="63"/>
      <c r="F98" s="25"/>
      <c r="G98" s="62"/>
      <c r="H98" s="64"/>
      <c r="I98" s="3"/>
      <c r="J98" s="3"/>
      <c r="K98" s="10"/>
      <c r="L98" s="10"/>
      <c r="P98" s="2"/>
    </row>
    <row r="99" spans="1:16" s="1" customFormat="1" ht="18.75" customHeight="1">
      <c r="A99" s="26"/>
      <c r="B99" s="26"/>
      <c r="C99" s="26"/>
      <c r="D99" s="62"/>
      <c r="E99" s="63"/>
      <c r="F99" s="25"/>
      <c r="G99" s="62"/>
      <c r="H99" s="64"/>
      <c r="I99" s="3"/>
      <c r="J99" s="3"/>
      <c r="K99" s="10"/>
      <c r="L99" s="10"/>
      <c r="P99" s="2"/>
    </row>
    <row r="100" spans="1:16" s="1" customFormat="1" ht="18.75" customHeight="1">
      <c r="A100" s="26"/>
      <c r="B100" s="26"/>
      <c r="C100" s="26"/>
      <c r="D100" s="62"/>
      <c r="E100" s="63"/>
      <c r="F100" s="25"/>
      <c r="G100" s="62"/>
      <c r="H100" s="64"/>
      <c r="I100" s="3"/>
      <c r="J100" s="3"/>
      <c r="K100" s="10"/>
      <c r="L100" s="10"/>
      <c r="P100" s="2"/>
    </row>
    <row r="101" spans="1:16" s="1" customFormat="1" ht="18.75" customHeight="1">
      <c r="A101" s="26"/>
      <c r="B101" s="26"/>
      <c r="C101" s="26"/>
      <c r="D101" s="62"/>
      <c r="E101" s="63"/>
      <c r="F101" s="25"/>
      <c r="G101" s="62"/>
      <c r="H101" s="64"/>
      <c r="I101" s="3"/>
      <c r="J101" s="3"/>
      <c r="K101" s="10"/>
      <c r="L101" s="10"/>
      <c r="P101" s="2"/>
    </row>
    <row r="102" spans="1:16" s="1" customFormat="1" ht="22.5" customHeight="1">
      <c r="A102" s="65" t="s">
        <v>41</v>
      </c>
      <c r="B102" s="26"/>
      <c r="C102" s="26"/>
      <c r="D102" s="163" t="s">
        <v>59</v>
      </c>
      <c r="E102" s="163"/>
      <c r="F102" s="163"/>
      <c r="G102" s="163"/>
      <c r="H102" s="64"/>
      <c r="I102" s="3"/>
      <c r="K102" s="10"/>
      <c r="L102" s="10"/>
      <c r="P102" s="2"/>
    </row>
    <row r="103" spans="1:16" s="1" customFormat="1" ht="22.5" customHeight="1">
      <c r="A103" s="73" t="s">
        <v>72</v>
      </c>
      <c r="B103" s="26"/>
      <c r="C103" s="26"/>
      <c r="D103" s="63" t="s">
        <v>73</v>
      </c>
      <c r="E103" s="63"/>
      <c r="F103" s="63"/>
      <c r="G103" s="63"/>
      <c r="H103" s="64"/>
      <c r="I103" s="3"/>
      <c r="K103" s="10"/>
      <c r="L103" s="10"/>
      <c r="P103" s="2"/>
    </row>
    <row r="104" spans="1:16" s="1" customFormat="1" ht="14.25" customHeight="1">
      <c r="A104" s="95" t="s">
        <v>71</v>
      </c>
      <c r="B104" s="73"/>
      <c r="C104" s="73"/>
      <c r="D104" s="67" t="s">
        <v>75</v>
      </c>
      <c r="E104" s="66"/>
      <c r="F104" s="63"/>
      <c r="G104" s="68"/>
      <c r="H104" s="25"/>
      <c r="K104" s="2"/>
      <c r="L104" s="2"/>
      <c r="P104" s="2"/>
    </row>
    <row r="105" spans="1:12" ht="17.25" customHeight="1">
      <c r="A105" s="73" t="s">
        <v>60</v>
      </c>
      <c r="B105" s="76"/>
      <c r="C105" s="76"/>
      <c r="D105" s="67" t="s">
        <v>74</v>
      </c>
      <c r="E105" s="77"/>
      <c r="F105" s="78"/>
      <c r="G105" s="79"/>
      <c r="H105" s="80"/>
      <c r="K105" s="12"/>
      <c r="L105" s="12"/>
    </row>
    <row r="106" spans="1:15" ht="21" customHeight="1">
      <c r="A106" s="18"/>
      <c r="B106" s="18"/>
      <c r="C106" s="18"/>
      <c r="D106" s="18"/>
      <c r="E106" s="21"/>
      <c r="F106" s="17"/>
      <c r="G106" s="20"/>
      <c r="H106" s="15"/>
      <c r="I106" s="14"/>
      <c r="J106" s="16"/>
      <c r="K106" s="22"/>
      <c r="L106" s="22"/>
      <c r="M106" s="16"/>
      <c r="N106" s="16"/>
      <c r="O106" s="16"/>
    </row>
    <row r="107" spans="1:15" ht="21" customHeight="1">
      <c r="A107" s="18"/>
      <c r="B107" s="18"/>
      <c r="C107" s="18"/>
      <c r="D107" s="18"/>
      <c r="E107" s="19"/>
      <c r="F107" s="17"/>
      <c r="G107" s="20"/>
      <c r="H107" s="15"/>
      <c r="I107" s="14"/>
      <c r="J107" s="16"/>
      <c r="K107" s="22"/>
      <c r="L107" s="22"/>
      <c r="M107" s="23"/>
      <c r="N107" s="16"/>
      <c r="O107" s="16"/>
    </row>
    <row r="108" spans="1:15" ht="21" customHeight="1">
      <c r="A108" s="18"/>
      <c r="B108" s="18"/>
      <c r="C108" s="18"/>
      <c r="D108" s="18"/>
      <c r="E108" s="19"/>
      <c r="F108" s="17"/>
      <c r="G108" s="20"/>
      <c r="H108" s="15"/>
      <c r="I108" s="14"/>
      <c r="J108" s="16"/>
      <c r="K108" s="22"/>
      <c r="L108" s="22"/>
      <c r="M108" s="23"/>
      <c r="N108" s="16"/>
      <c r="O108" s="16"/>
    </row>
    <row r="109" spans="1:15" ht="21" customHeight="1">
      <c r="A109" s="18"/>
      <c r="B109" s="18"/>
      <c r="C109" s="18"/>
      <c r="D109" s="18"/>
      <c r="E109" s="19"/>
      <c r="F109" s="17"/>
      <c r="G109" s="20"/>
      <c r="H109" s="15"/>
      <c r="I109" s="14"/>
      <c r="J109" s="16"/>
      <c r="K109" s="22"/>
      <c r="L109" s="22"/>
      <c r="M109" s="23"/>
      <c r="N109" s="16"/>
      <c r="O109" s="16"/>
    </row>
    <row r="110" spans="9:16" ht="17.25">
      <c r="I110" s="12"/>
      <c r="J110" s="12"/>
      <c r="K110" s="12"/>
      <c r="L110" s="12"/>
      <c r="P110" s="11"/>
    </row>
    <row r="111" spans="9:16" ht="17.25">
      <c r="I111" s="12"/>
      <c r="J111" s="12"/>
      <c r="K111" s="12"/>
      <c r="L111" s="12"/>
      <c r="P111" s="11"/>
    </row>
    <row r="112" spans="9:16" ht="17.25">
      <c r="I112" s="12"/>
      <c r="J112" s="12"/>
      <c r="K112" s="12"/>
      <c r="L112" s="12"/>
      <c r="P112" s="11"/>
    </row>
    <row r="113" spans="9:16" ht="17.25">
      <c r="I113" s="12"/>
      <c r="J113" s="12"/>
      <c r="K113" s="12"/>
      <c r="L113" s="12"/>
      <c r="P113" s="11"/>
    </row>
    <row r="114" spans="9:16" ht="17.25">
      <c r="I114" s="12"/>
      <c r="J114" s="12"/>
      <c r="K114" s="12"/>
      <c r="L114" s="12"/>
      <c r="P114" s="11"/>
    </row>
    <row r="115" spans="9:16" ht="17.25">
      <c r="I115" s="12"/>
      <c r="J115" s="12"/>
      <c r="K115" s="12"/>
      <c r="L115" s="12"/>
      <c r="P115" s="11"/>
    </row>
    <row r="116" spans="9:16" ht="17.25">
      <c r="I116" s="12"/>
      <c r="J116" s="12"/>
      <c r="K116" s="12"/>
      <c r="L116" s="12"/>
      <c r="P116" s="11"/>
    </row>
    <row r="117" spans="9:16" ht="17.25">
      <c r="I117" s="12"/>
      <c r="J117" s="12"/>
      <c r="K117" s="12"/>
      <c r="L117" s="12"/>
      <c r="P117" s="11"/>
    </row>
  </sheetData>
  <sheetProtection/>
  <mergeCells count="86">
    <mergeCell ref="A1:H1"/>
    <mergeCell ref="A2:H2"/>
    <mergeCell ref="A3:H3"/>
    <mergeCell ref="A4:D4"/>
    <mergeCell ref="E4:E6"/>
    <mergeCell ref="G4:H4"/>
    <mergeCell ref="G5:H5"/>
    <mergeCell ref="G6:H6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8:H18"/>
    <mergeCell ref="G19:H19"/>
    <mergeCell ref="G20:H20"/>
    <mergeCell ref="G21:H21"/>
    <mergeCell ref="G22:H22"/>
    <mergeCell ref="G23:H23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A55:H55"/>
    <mergeCell ref="A56:D56"/>
    <mergeCell ref="E56:E59"/>
    <mergeCell ref="G57:H57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89:H89"/>
    <mergeCell ref="G78:H78"/>
    <mergeCell ref="G79:H79"/>
    <mergeCell ref="G80:H80"/>
    <mergeCell ref="G81:H81"/>
    <mergeCell ref="G82:H82"/>
    <mergeCell ref="G83:H83"/>
    <mergeCell ref="G90:H90"/>
    <mergeCell ref="G91:H91"/>
    <mergeCell ref="G92:H92"/>
    <mergeCell ref="D95:H95"/>
    <mergeCell ref="D102:G102"/>
    <mergeCell ref="G84:H84"/>
    <mergeCell ref="G85:H85"/>
    <mergeCell ref="G86:H86"/>
    <mergeCell ref="G87:H87"/>
    <mergeCell ref="G88:H88"/>
  </mergeCells>
  <printOptions/>
  <pageMargins left="0.31496062992125984" right="0.31496062992125984" top="0.2755905511811024" bottom="0" header="0.15748031496062992" footer="0.236220472440944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7"/>
  <sheetViews>
    <sheetView view="pageBreakPreview" zoomScale="140" zoomScaleSheetLayoutView="140" workbookViewId="0" topLeftCell="A79">
      <selection activeCell="G92" sqref="G92:H92"/>
    </sheetView>
  </sheetViews>
  <sheetFormatPr defaultColWidth="9.140625" defaultRowHeight="21.75"/>
  <cols>
    <col min="1" max="3" width="11.28125" style="11" customWidth="1"/>
    <col min="4" max="4" width="15.421875" style="11" customWidth="1"/>
    <col min="5" max="5" width="25.8515625" style="11" customWidth="1"/>
    <col min="6" max="6" width="10.00390625" style="11" customWidth="1"/>
    <col min="7" max="7" width="4.28125" style="11" customWidth="1"/>
    <col min="8" max="8" width="11.140625" style="11" customWidth="1"/>
    <col min="9" max="9" width="14.140625" style="11" customWidth="1"/>
    <col min="10" max="10" width="1.8515625" style="11" customWidth="1"/>
    <col min="11" max="11" width="13.57421875" style="11" customWidth="1"/>
    <col min="12" max="12" width="13.7109375" style="11" customWidth="1"/>
    <col min="13" max="15" width="14.28125" style="11" customWidth="1"/>
    <col min="16" max="16" width="14.28125" style="12" customWidth="1"/>
    <col min="17" max="16384" width="9.140625" style="11" customWidth="1"/>
  </cols>
  <sheetData>
    <row r="1" spans="1:16" s="1" customFormat="1" ht="17.25" customHeight="1">
      <c r="A1" s="168" t="s">
        <v>35</v>
      </c>
      <c r="B1" s="168"/>
      <c r="C1" s="168"/>
      <c r="D1" s="168"/>
      <c r="E1" s="168"/>
      <c r="F1" s="168"/>
      <c r="G1" s="168"/>
      <c r="H1" s="168"/>
      <c r="P1" s="2"/>
    </row>
    <row r="2" spans="1:16" s="1" customFormat="1" ht="17.25" customHeight="1">
      <c r="A2" s="168" t="s">
        <v>54</v>
      </c>
      <c r="B2" s="168"/>
      <c r="C2" s="168"/>
      <c r="D2" s="168"/>
      <c r="E2" s="168"/>
      <c r="F2" s="168"/>
      <c r="G2" s="168"/>
      <c r="H2" s="168"/>
      <c r="P2" s="2"/>
    </row>
    <row r="3" spans="1:16" s="1" customFormat="1" ht="17.25" customHeight="1" thickBot="1">
      <c r="A3" s="169" t="s">
        <v>105</v>
      </c>
      <c r="B3" s="169"/>
      <c r="C3" s="169"/>
      <c r="D3" s="169"/>
      <c r="E3" s="169"/>
      <c r="F3" s="169"/>
      <c r="G3" s="169"/>
      <c r="H3" s="169"/>
      <c r="P3" s="2"/>
    </row>
    <row r="4" spans="1:16" s="1" customFormat="1" ht="15.75" customHeight="1" thickTop="1">
      <c r="A4" s="170" t="s">
        <v>46</v>
      </c>
      <c r="B4" s="171"/>
      <c r="C4" s="171"/>
      <c r="D4" s="172"/>
      <c r="E4" s="173" t="s">
        <v>18</v>
      </c>
      <c r="F4" s="128" t="s">
        <v>16</v>
      </c>
      <c r="G4" s="175"/>
      <c r="H4" s="176"/>
      <c r="P4" s="2"/>
    </row>
    <row r="5" spans="1:16" s="1" customFormat="1" ht="15.75" customHeight="1">
      <c r="A5" s="129" t="s">
        <v>32</v>
      </c>
      <c r="B5" s="116" t="s">
        <v>51</v>
      </c>
      <c r="C5" s="116" t="s">
        <v>47</v>
      </c>
      <c r="D5" s="41" t="s">
        <v>48</v>
      </c>
      <c r="E5" s="174"/>
      <c r="F5" s="42" t="s">
        <v>17</v>
      </c>
      <c r="G5" s="177" t="s">
        <v>68</v>
      </c>
      <c r="H5" s="178"/>
      <c r="P5" s="2"/>
    </row>
    <row r="6" spans="1:16" s="1" customFormat="1" ht="15.75" customHeight="1">
      <c r="A6" s="130" t="s">
        <v>53</v>
      </c>
      <c r="B6" s="42" t="s">
        <v>52</v>
      </c>
      <c r="C6" s="42" t="s">
        <v>49</v>
      </c>
      <c r="D6" s="41" t="s">
        <v>49</v>
      </c>
      <c r="E6" s="174"/>
      <c r="F6" s="130"/>
      <c r="G6" s="177" t="s">
        <v>69</v>
      </c>
      <c r="H6" s="178"/>
      <c r="P6" s="2"/>
    </row>
    <row r="7" spans="1:16" s="1" customFormat="1" ht="15.75" customHeight="1">
      <c r="A7" s="131"/>
      <c r="B7" s="122" t="s">
        <v>49</v>
      </c>
      <c r="C7" s="122"/>
      <c r="D7" s="123"/>
      <c r="E7" s="132"/>
      <c r="F7" s="131"/>
      <c r="G7" s="123"/>
      <c r="H7" s="133"/>
      <c r="P7" s="2"/>
    </row>
    <row r="8" spans="1:16" s="1" customFormat="1" ht="15.75" customHeight="1" thickBot="1">
      <c r="A8" s="30"/>
      <c r="B8" s="31"/>
      <c r="C8" s="32"/>
      <c r="D8" s="33">
        <v>49570735.76999998</v>
      </c>
      <c r="E8" s="28"/>
      <c r="F8" s="28"/>
      <c r="G8" s="135">
        <v>52666827.25999999</v>
      </c>
      <c r="H8" s="136"/>
      <c r="P8" s="2"/>
    </row>
    <row r="9" spans="1:16" s="1" customFormat="1" ht="15.75" customHeight="1" thickTop="1">
      <c r="A9" s="30"/>
      <c r="B9" s="26"/>
      <c r="C9" s="24"/>
      <c r="D9" s="34"/>
      <c r="E9" s="35" t="s">
        <v>55</v>
      </c>
      <c r="F9" s="28"/>
      <c r="G9" s="137"/>
      <c r="H9" s="138"/>
      <c r="I9" s="1" t="s">
        <v>31</v>
      </c>
      <c r="K9" s="1" t="s">
        <v>26</v>
      </c>
      <c r="P9" s="2"/>
    </row>
    <row r="10" spans="1:16" s="1" customFormat="1" ht="15.75" customHeight="1">
      <c r="A10" s="99">
        <v>806000</v>
      </c>
      <c r="B10" s="72">
        <v>0</v>
      </c>
      <c r="C10" s="37">
        <f aca="true" t="shared" si="0" ref="C10:C15">SUM(A10:B10)</f>
        <v>806000</v>
      </c>
      <c r="D10" s="38">
        <f aca="true" t="shared" si="1" ref="D10:D15">K10</f>
        <v>7232.619999999999</v>
      </c>
      <c r="E10" s="24" t="s">
        <v>4</v>
      </c>
      <c r="F10" s="39" t="s">
        <v>79</v>
      </c>
      <c r="G10" s="139">
        <v>2895.39</v>
      </c>
      <c r="H10" s="140"/>
      <c r="I10" s="3">
        <v>4337.23</v>
      </c>
      <c r="J10" s="3"/>
      <c r="K10" s="2">
        <f aca="true" t="shared" si="2" ref="K10:K15">SUM(G10+I10)</f>
        <v>7232.619999999999</v>
      </c>
      <c r="L10" s="2"/>
      <c r="P10" s="2"/>
    </row>
    <row r="11" spans="1:16" s="1" customFormat="1" ht="15.75" customHeight="1">
      <c r="A11" s="99">
        <v>414000</v>
      </c>
      <c r="B11" s="72">
        <v>0</v>
      </c>
      <c r="C11" s="37">
        <f t="shared" si="0"/>
        <v>414000</v>
      </c>
      <c r="D11" s="38">
        <f t="shared" si="1"/>
        <v>74093.4</v>
      </c>
      <c r="E11" s="24" t="s">
        <v>5</v>
      </c>
      <c r="F11" s="39" t="s">
        <v>80</v>
      </c>
      <c r="G11" s="141">
        <v>26168</v>
      </c>
      <c r="H11" s="142"/>
      <c r="I11" s="3">
        <v>47925.4</v>
      </c>
      <c r="J11" s="3"/>
      <c r="K11" s="2">
        <f t="shared" si="2"/>
        <v>74093.4</v>
      </c>
      <c r="L11" s="2"/>
      <c r="P11" s="2"/>
    </row>
    <row r="12" spans="1:16" s="1" customFormat="1" ht="15.75" customHeight="1">
      <c r="A12" s="99">
        <v>1900000</v>
      </c>
      <c r="B12" s="72">
        <v>0</v>
      </c>
      <c r="C12" s="37">
        <f t="shared" si="0"/>
        <v>1900000</v>
      </c>
      <c r="D12" s="38">
        <f t="shared" si="1"/>
        <v>300992</v>
      </c>
      <c r="E12" s="24" t="s">
        <v>6</v>
      </c>
      <c r="F12" s="39" t="s">
        <v>81</v>
      </c>
      <c r="G12" s="141">
        <v>84762</v>
      </c>
      <c r="H12" s="142"/>
      <c r="I12" s="3">
        <v>216230</v>
      </c>
      <c r="J12" s="3"/>
      <c r="K12" s="2">
        <f t="shared" si="2"/>
        <v>300992</v>
      </c>
      <c r="L12" s="2"/>
      <c r="P12" s="2"/>
    </row>
    <row r="13" spans="1:16" s="1" customFormat="1" ht="15.75" customHeight="1">
      <c r="A13" s="99">
        <v>820000</v>
      </c>
      <c r="B13" s="72">
        <v>0</v>
      </c>
      <c r="C13" s="37">
        <f t="shared" si="0"/>
        <v>820000</v>
      </c>
      <c r="D13" s="38">
        <f t="shared" si="1"/>
        <v>82700</v>
      </c>
      <c r="E13" s="24" t="s">
        <v>7</v>
      </c>
      <c r="F13" s="39" t="s">
        <v>82</v>
      </c>
      <c r="G13" s="141">
        <v>38700</v>
      </c>
      <c r="H13" s="142"/>
      <c r="I13" s="3">
        <v>44000</v>
      </c>
      <c r="J13" s="3"/>
      <c r="K13" s="2">
        <f t="shared" si="2"/>
        <v>82700</v>
      </c>
      <c r="L13" s="2"/>
      <c r="P13" s="2"/>
    </row>
    <row r="14" spans="1:16" s="1" customFormat="1" ht="15.75" customHeight="1">
      <c r="A14" s="99">
        <v>32060000</v>
      </c>
      <c r="B14" s="72">
        <v>0</v>
      </c>
      <c r="C14" s="37">
        <f>SUM(A14:B14)</f>
        <v>32060000</v>
      </c>
      <c r="D14" s="38">
        <f t="shared" si="1"/>
        <v>9218287.6</v>
      </c>
      <c r="E14" s="24" t="s">
        <v>19</v>
      </c>
      <c r="F14" s="39" t="s">
        <v>83</v>
      </c>
      <c r="G14" s="141">
        <v>5869728.7</v>
      </c>
      <c r="H14" s="142"/>
      <c r="I14" s="3">
        <v>3348558.9</v>
      </c>
      <c r="J14" s="3"/>
      <c r="K14" s="2">
        <f t="shared" si="2"/>
        <v>9218287.6</v>
      </c>
      <c r="L14" s="2"/>
      <c r="P14" s="2"/>
    </row>
    <row r="15" spans="1:16" s="1" customFormat="1" ht="15.75" customHeight="1">
      <c r="A15" s="99">
        <v>46000000</v>
      </c>
      <c r="B15" s="72">
        <v>0</v>
      </c>
      <c r="C15" s="37">
        <f t="shared" si="0"/>
        <v>46000000</v>
      </c>
      <c r="D15" s="38">
        <f t="shared" si="1"/>
        <v>12738888</v>
      </c>
      <c r="E15" s="24" t="s">
        <v>40</v>
      </c>
      <c r="F15" s="39" t="s">
        <v>84</v>
      </c>
      <c r="G15" s="141">
        <v>0</v>
      </c>
      <c r="H15" s="142"/>
      <c r="I15" s="3">
        <v>12738888</v>
      </c>
      <c r="J15" s="3"/>
      <c r="K15" s="2">
        <f t="shared" si="2"/>
        <v>12738888</v>
      </c>
      <c r="L15" s="2"/>
      <c r="P15" s="2"/>
    </row>
    <row r="16" spans="1:16" s="1" customFormat="1" ht="15.75" customHeight="1">
      <c r="A16" s="100">
        <f>SUM(A10:A15)</f>
        <v>82000000</v>
      </c>
      <c r="B16" s="88"/>
      <c r="C16" s="55">
        <f>SUM(C10:C15)</f>
        <v>82000000</v>
      </c>
      <c r="D16" s="83">
        <f>SUM(D10:D15)</f>
        <v>22422193.619999997</v>
      </c>
      <c r="E16" s="85" t="s">
        <v>47</v>
      </c>
      <c r="F16" s="86"/>
      <c r="G16" s="143">
        <f>SUM(G10:G15)</f>
        <v>6022254.09</v>
      </c>
      <c r="H16" s="144"/>
      <c r="I16" s="4">
        <f>SUM(I10:I15)</f>
        <v>16399939.53</v>
      </c>
      <c r="K16" s="5">
        <f>SUM(K10:K15)</f>
        <v>22422193.619999997</v>
      </c>
      <c r="L16" s="5"/>
      <c r="P16" s="2"/>
    </row>
    <row r="17" spans="1:16" s="1" customFormat="1" ht="15.75" customHeight="1">
      <c r="A17" s="40"/>
      <c r="B17" s="41"/>
      <c r="C17" s="42"/>
      <c r="D17" s="87"/>
      <c r="E17" s="101" t="s">
        <v>100</v>
      </c>
      <c r="F17" s="39">
        <v>44100000</v>
      </c>
      <c r="G17" s="43"/>
      <c r="H17" s="44"/>
      <c r="I17" s="4"/>
      <c r="K17" s="5"/>
      <c r="L17" s="5"/>
      <c r="P17" s="2"/>
    </row>
    <row r="18" spans="1:16" s="1" customFormat="1" ht="15.75" customHeight="1">
      <c r="A18" s="30"/>
      <c r="B18" s="72">
        <v>12000</v>
      </c>
      <c r="C18" s="60">
        <f>SUM(B18)</f>
        <v>12000</v>
      </c>
      <c r="D18" s="45">
        <f>K18</f>
        <v>12000</v>
      </c>
      <c r="E18" s="24" t="s">
        <v>67</v>
      </c>
      <c r="F18" s="39"/>
      <c r="G18" s="145">
        <v>0</v>
      </c>
      <c r="H18" s="146"/>
      <c r="I18" s="3">
        <v>12000</v>
      </c>
      <c r="J18" s="3"/>
      <c r="K18" s="2">
        <f aca="true" t="shared" si="3" ref="K18:K50">SUM(G18+I18)</f>
        <v>12000</v>
      </c>
      <c r="L18" s="2"/>
      <c r="P18" s="2"/>
    </row>
    <row r="19" spans="1:16" s="1" customFormat="1" ht="15.75" customHeight="1">
      <c r="A19" s="30"/>
      <c r="B19" s="72">
        <v>0</v>
      </c>
      <c r="C19" s="60">
        <f>SUM(B19)</f>
        <v>0</v>
      </c>
      <c r="D19" s="45">
        <f>K19</f>
        <v>24000</v>
      </c>
      <c r="E19" s="24" t="s">
        <v>70</v>
      </c>
      <c r="F19" s="39"/>
      <c r="G19" s="145">
        <v>24000</v>
      </c>
      <c r="H19" s="146"/>
      <c r="I19" s="3">
        <v>0</v>
      </c>
      <c r="J19" s="3">
        <v>0</v>
      </c>
      <c r="K19" s="2">
        <f t="shared" si="3"/>
        <v>24000</v>
      </c>
      <c r="L19" s="2"/>
      <c r="P19" s="2"/>
    </row>
    <row r="20" spans="1:16" s="1" customFormat="1" ht="15.75" customHeight="1">
      <c r="A20" s="30"/>
      <c r="B20" s="72">
        <v>85932</v>
      </c>
      <c r="C20" s="60">
        <f>SUM(B20)</f>
        <v>85932</v>
      </c>
      <c r="D20" s="45">
        <f>K20</f>
        <v>85932</v>
      </c>
      <c r="E20" s="24" t="s">
        <v>78</v>
      </c>
      <c r="F20" s="39"/>
      <c r="G20" s="141">
        <v>0</v>
      </c>
      <c r="H20" s="142"/>
      <c r="I20" s="3">
        <v>85932</v>
      </c>
      <c r="J20" s="3"/>
      <c r="K20" s="2">
        <f t="shared" si="3"/>
        <v>85932</v>
      </c>
      <c r="L20" s="2"/>
      <c r="P20" s="2"/>
    </row>
    <row r="21" spans="1:16" s="1" customFormat="1" ht="15.75" customHeight="1">
      <c r="A21" s="30"/>
      <c r="B21" s="72"/>
      <c r="C21" s="60"/>
      <c r="D21" s="45"/>
      <c r="E21" s="24"/>
      <c r="F21" s="39"/>
      <c r="G21" s="141"/>
      <c r="H21" s="142"/>
      <c r="I21" s="3">
        <v>0</v>
      </c>
      <c r="J21" s="3"/>
      <c r="K21" s="2">
        <f t="shared" si="3"/>
        <v>0</v>
      </c>
      <c r="L21" s="2"/>
      <c r="P21" s="2"/>
    </row>
    <row r="22" spans="1:16" s="1" customFormat="1" ht="15.75" customHeight="1">
      <c r="A22" s="30"/>
      <c r="B22" s="72"/>
      <c r="C22" s="60"/>
      <c r="D22" s="45"/>
      <c r="E22" s="24"/>
      <c r="F22" s="39"/>
      <c r="G22" s="141"/>
      <c r="H22" s="142"/>
      <c r="I22" s="3">
        <v>0</v>
      </c>
      <c r="J22" s="3"/>
      <c r="K22" s="2">
        <f t="shared" si="3"/>
        <v>0</v>
      </c>
      <c r="L22" s="2"/>
      <c r="P22" s="2"/>
    </row>
    <row r="23" spans="1:16" s="1" customFormat="1" ht="15.75" customHeight="1">
      <c r="A23" s="30"/>
      <c r="B23" s="72"/>
      <c r="C23" s="60"/>
      <c r="D23" s="45"/>
      <c r="E23" s="24"/>
      <c r="F23" s="39"/>
      <c r="G23" s="141"/>
      <c r="H23" s="142"/>
      <c r="I23" s="3">
        <v>0</v>
      </c>
      <c r="J23" s="3"/>
      <c r="K23" s="2">
        <f t="shared" si="3"/>
        <v>0</v>
      </c>
      <c r="L23" s="2"/>
      <c r="P23" s="2"/>
    </row>
    <row r="24" spans="1:16" s="1" customFormat="1" ht="15.75" customHeight="1">
      <c r="A24" s="30"/>
      <c r="B24" s="72"/>
      <c r="C24" s="60"/>
      <c r="D24" s="45"/>
      <c r="E24" s="24"/>
      <c r="F24" s="39"/>
      <c r="G24" s="38"/>
      <c r="H24" s="96"/>
      <c r="I24" s="3">
        <v>0</v>
      </c>
      <c r="J24" s="3"/>
      <c r="K24" s="2"/>
      <c r="L24" s="2"/>
      <c r="P24" s="2"/>
    </row>
    <row r="25" spans="1:16" s="1" customFormat="1" ht="15.75" customHeight="1">
      <c r="A25" s="30"/>
      <c r="B25" s="72"/>
      <c r="C25" s="60"/>
      <c r="D25" s="45"/>
      <c r="E25" s="24"/>
      <c r="F25" s="39"/>
      <c r="G25" s="38"/>
      <c r="H25" s="96"/>
      <c r="I25" s="3"/>
      <c r="J25" s="3"/>
      <c r="K25" s="2"/>
      <c r="L25" s="2"/>
      <c r="P25" s="2"/>
    </row>
    <row r="26" spans="1:16" s="1" customFormat="1" ht="15.75" customHeight="1">
      <c r="A26" s="30"/>
      <c r="B26" s="72"/>
      <c r="C26" s="60"/>
      <c r="D26" s="45"/>
      <c r="E26" s="24"/>
      <c r="F26" s="39"/>
      <c r="G26" s="38"/>
      <c r="H26" s="96"/>
      <c r="I26" s="3"/>
      <c r="J26" s="3"/>
      <c r="K26" s="2"/>
      <c r="L26" s="2"/>
      <c r="P26" s="2"/>
    </row>
    <row r="27" spans="1:16" s="1" customFormat="1" ht="15.75" customHeight="1">
      <c r="A27" s="30"/>
      <c r="B27" s="72"/>
      <c r="C27" s="60"/>
      <c r="D27" s="45"/>
      <c r="E27" s="24"/>
      <c r="F27" s="39"/>
      <c r="G27" s="38"/>
      <c r="H27" s="96"/>
      <c r="I27" s="3"/>
      <c r="J27" s="3"/>
      <c r="K27" s="2"/>
      <c r="L27" s="2"/>
      <c r="P27" s="2"/>
    </row>
    <row r="28" spans="1:16" s="1" customFormat="1" ht="15.75" customHeight="1">
      <c r="A28" s="30"/>
      <c r="B28" s="72"/>
      <c r="C28" s="60"/>
      <c r="D28" s="45"/>
      <c r="E28" s="24"/>
      <c r="F28" s="39"/>
      <c r="G28" s="38"/>
      <c r="H28" s="96"/>
      <c r="I28" s="3"/>
      <c r="J28" s="3"/>
      <c r="K28" s="2"/>
      <c r="L28" s="2"/>
      <c r="P28" s="2"/>
    </row>
    <row r="29" spans="1:16" s="1" customFormat="1" ht="15.75" customHeight="1">
      <c r="A29" s="30"/>
      <c r="B29" s="72"/>
      <c r="C29" s="60"/>
      <c r="D29" s="45"/>
      <c r="E29" s="24"/>
      <c r="F29" s="39"/>
      <c r="G29" s="38"/>
      <c r="H29" s="96"/>
      <c r="I29" s="3"/>
      <c r="J29" s="3"/>
      <c r="K29" s="2"/>
      <c r="L29" s="2"/>
      <c r="P29" s="2"/>
    </row>
    <row r="30" spans="1:16" s="1" customFormat="1" ht="15.75" customHeight="1">
      <c r="A30" s="30"/>
      <c r="B30" s="72"/>
      <c r="C30" s="60"/>
      <c r="D30" s="45"/>
      <c r="E30" s="24"/>
      <c r="F30" s="39"/>
      <c r="G30" s="141"/>
      <c r="H30" s="142"/>
      <c r="I30" s="3"/>
      <c r="J30" s="3"/>
      <c r="K30" s="2">
        <f t="shared" si="3"/>
        <v>0</v>
      </c>
      <c r="L30" s="2"/>
      <c r="P30" s="2"/>
    </row>
    <row r="31" spans="1:16" s="1" customFormat="1" ht="15.75" customHeight="1">
      <c r="A31" s="30"/>
      <c r="B31" s="72"/>
      <c r="C31" s="60"/>
      <c r="D31" s="45"/>
      <c r="E31" s="24"/>
      <c r="F31" s="39"/>
      <c r="G31" s="141"/>
      <c r="H31" s="142"/>
      <c r="I31" s="3"/>
      <c r="J31" s="3"/>
      <c r="K31" s="2">
        <f t="shared" si="3"/>
        <v>0</v>
      </c>
      <c r="L31" s="2"/>
      <c r="P31" s="2"/>
    </row>
    <row r="32" spans="1:16" s="1" customFormat="1" ht="15.75" customHeight="1">
      <c r="A32" s="30"/>
      <c r="B32" s="72"/>
      <c r="C32" s="60"/>
      <c r="D32" s="45"/>
      <c r="E32" s="24"/>
      <c r="F32" s="39"/>
      <c r="G32" s="141"/>
      <c r="H32" s="142"/>
      <c r="I32" s="3"/>
      <c r="J32" s="3"/>
      <c r="K32" s="2">
        <f t="shared" si="3"/>
        <v>0</v>
      </c>
      <c r="L32" s="2"/>
      <c r="P32" s="2"/>
    </row>
    <row r="33" spans="1:16" s="1" customFormat="1" ht="15.75" customHeight="1">
      <c r="A33" s="30"/>
      <c r="B33" s="72"/>
      <c r="C33" s="60"/>
      <c r="D33" s="45"/>
      <c r="E33" s="24"/>
      <c r="F33" s="39"/>
      <c r="G33" s="141"/>
      <c r="H33" s="142"/>
      <c r="I33" s="3"/>
      <c r="J33" s="3"/>
      <c r="K33" s="2">
        <f t="shared" si="3"/>
        <v>0</v>
      </c>
      <c r="L33" s="2"/>
      <c r="P33" s="2"/>
    </row>
    <row r="34" spans="1:16" s="1" customFormat="1" ht="15.75" customHeight="1">
      <c r="A34" s="30"/>
      <c r="B34" s="72"/>
      <c r="C34" s="60"/>
      <c r="D34" s="45"/>
      <c r="E34" s="24"/>
      <c r="F34" s="39"/>
      <c r="G34" s="141"/>
      <c r="H34" s="142"/>
      <c r="I34" s="3"/>
      <c r="J34" s="3"/>
      <c r="K34" s="2">
        <f t="shared" si="3"/>
        <v>0</v>
      </c>
      <c r="L34" s="2"/>
      <c r="P34" s="2"/>
    </row>
    <row r="35" spans="1:16" s="1" customFormat="1" ht="15.75" customHeight="1">
      <c r="A35" s="30"/>
      <c r="B35" s="72"/>
      <c r="C35" s="60"/>
      <c r="D35" s="45"/>
      <c r="E35" s="24"/>
      <c r="F35" s="39"/>
      <c r="G35" s="147"/>
      <c r="H35" s="148"/>
      <c r="I35" s="3"/>
      <c r="J35" s="3"/>
      <c r="K35" s="2">
        <f t="shared" si="3"/>
        <v>0</v>
      </c>
      <c r="L35" s="2"/>
      <c r="P35" s="2"/>
    </row>
    <row r="36" spans="1:16" s="1" customFormat="1" ht="15.75" customHeight="1">
      <c r="A36" s="84"/>
      <c r="B36" s="90">
        <f>SUM(B18:B35)</f>
        <v>97932</v>
      </c>
      <c r="C36" s="55">
        <f>SUM(C18:C35)</f>
        <v>97932</v>
      </c>
      <c r="D36" s="55">
        <f>SUM(D18:D35)</f>
        <v>121932</v>
      </c>
      <c r="E36" s="89"/>
      <c r="F36" s="86"/>
      <c r="G36" s="149">
        <f>SUM(G18:G35)</f>
        <v>24000</v>
      </c>
      <c r="H36" s="150"/>
      <c r="I36" s="3"/>
      <c r="J36" s="3"/>
      <c r="K36" s="2">
        <f t="shared" si="3"/>
        <v>24000</v>
      </c>
      <c r="L36" s="2"/>
      <c r="P36" s="2"/>
    </row>
    <row r="37" spans="1:16" s="93" customFormat="1" ht="15.75" customHeight="1" thickBot="1">
      <c r="A37" s="100">
        <f>A16</f>
        <v>82000000</v>
      </c>
      <c r="B37" s="90"/>
      <c r="C37" s="55"/>
      <c r="D37" s="47">
        <f>D16+D36</f>
        <v>22544125.619999997</v>
      </c>
      <c r="E37" s="85" t="s">
        <v>47</v>
      </c>
      <c r="F37" s="91"/>
      <c r="G37" s="143">
        <f>G16+G36</f>
        <v>6046254.09</v>
      </c>
      <c r="H37" s="144"/>
      <c r="I37" s="5"/>
      <c r="J37" s="5"/>
      <c r="K37" s="92">
        <f t="shared" si="3"/>
        <v>6046254.09</v>
      </c>
      <c r="L37" s="92"/>
      <c r="P37" s="92"/>
    </row>
    <row r="38" spans="1:16" s="1" customFormat="1" ht="15.75" customHeight="1" thickTop="1">
      <c r="A38" s="30"/>
      <c r="B38" s="25"/>
      <c r="C38" s="28"/>
      <c r="D38" s="48">
        <f>K38</f>
        <v>1052705.58</v>
      </c>
      <c r="E38" s="27" t="s">
        <v>34</v>
      </c>
      <c r="F38" s="39">
        <v>21040000</v>
      </c>
      <c r="G38" s="141">
        <v>332948.36</v>
      </c>
      <c r="H38" s="142"/>
      <c r="I38" s="3">
        <v>719757.22</v>
      </c>
      <c r="J38" s="3"/>
      <c r="K38" s="2">
        <f t="shared" si="3"/>
        <v>1052705.58</v>
      </c>
      <c r="L38" s="2"/>
      <c r="P38" s="2"/>
    </row>
    <row r="39" spans="1:16" s="1" customFormat="1" ht="15.75" customHeight="1">
      <c r="A39" s="30"/>
      <c r="B39" s="25"/>
      <c r="C39" s="28"/>
      <c r="D39" s="45">
        <f aca="true" t="shared" si="4" ref="D39:D51">K39</f>
        <v>108210</v>
      </c>
      <c r="E39" s="27" t="s">
        <v>65</v>
      </c>
      <c r="F39" s="39">
        <v>11041000</v>
      </c>
      <c r="G39" s="141">
        <f>5328+5268+6200</f>
        <v>16796</v>
      </c>
      <c r="H39" s="142"/>
      <c r="I39" s="3">
        <v>91414</v>
      </c>
      <c r="J39" s="3"/>
      <c r="K39" s="2">
        <f t="shared" si="3"/>
        <v>108210</v>
      </c>
      <c r="L39" s="2"/>
      <c r="P39" s="2"/>
    </row>
    <row r="40" spans="1:16" s="1" customFormat="1" ht="15.75" customHeight="1">
      <c r="A40" s="30"/>
      <c r="B40" s="25"/>
      <c r="C40" s="28"/>
      <c r="D40" s="45">
        <f t="shared" si="4"/>
        <v>0</v>
      </c>
      <c r="E40" s="27" t="s">
        <v>30</v>
      </c>
      <c r="F40" s="39">
        <v>11047000</v>
      </c>
      <c r="G40" s="141">
        <v>0</v>
      </c>
      <c r="H40" s="142"/>
      <c r="I40" s="3">
        <v>0</v>
      </c>
      <c r="J40" s="3"/>
      <c r="K40" s="2">
        <f t="shared" si="3"/>
        <v>0</v>
      </c>
      <c r="L40" s="2"/>
      <c r="P40" s="2"/>
    </row>
    <row r="41" spans="1:16" s="1" customFormat="1" ht="15.75" customHeight="1">
      <c r="A41" s="30"/>
      <c r="B41" s="25"/>
      <c r="C41" s="28"/>
      <c r="D41" s="45">
        <f t="shared" si="4"/>
        <v>28644</v>
      </c>
      <c r="E41" s="27" t="s">
        <v>62</v>
      </c>
      <c r="F41" s="39">
        <v>19040000</v>
      </c>
      <c r="G41" s="141">
        <v>0</v>
      </c>
      <c r="H41" s="142"/>
      <c r="I41" s="3">
        <v>28644</v>
      </c>
      <c r="J41" s="3"/>
      <c r="K41" s="2">
        <f t="shared" si="3"/>
        <v>28644</v>
      </c>
      <c r="L41" s="2"/>
      <c r="P41" s="2"/>
    </row>
    <row r="42" spans="1:16" s="1" customFormat="1" ht="15.75" customHeight="1">
      <c r="A42" s="30"/>
      <c r="B42" s="25"/>
      <c r="C42" s="28"/>
      <c r="D42" s="45">
        <f t="shared" si="4"/>
        <v>1737.28</v>
      </c>
      <c r="E42" s="27" t="s">
        <v>36</v>
      </c>
      <c r="F42" s="39">
        <v>11043002</v>
      </c>
      <c r="G42" s="141">
        <v>478.82</v>
      </c>
      <c r="H42" s="142"/>
      <c r="I42" s="3">
        <v>1258.46</v>
      </c>
      <c r="J42" s="3"/>
      <c r="K42" s="2">
        <f t="shared" si="3"/>
        <v>1737.28</v>
      </c>
      <c r="L42" s="2"/>
      <c r="P42" s="2"/>
    </row>
    <row r="43" spans="1:16" s="1" customFormat="1" ht="15.75" customHeight="1">
      <c r="A43" s="30"/>
      <c r="B43" s="25"/>
      <c r="C43" s="28"/>
      <c r="D43" s="45">
        <f t="shared" si="4"/>
        <v>34200</v>
      </c>
      <c r="E43" s="27" t="s">
        <v>95</v>
      </c>
      <c r="F43" s="39">
        <v>11069999</v>
      </c>
      <c r="G43" s="141">
        <v>8800</v>
      </c>
      <c r="H43" s="142"/>
      <c r="I43" s="3">
        <v>25400</v>
      </c>
      <c r="J43" s="3"/>
      <c r="K43" s="2">
        <f t="shared" si="3"/>
        <v>34200</v>
      </c>
      <c r="L43" s="2"/>
      <c r="P43" s="2"/>
    </row>
    <row r="44" spans="1:16" s="1" customFormat="1" ht="15.75" customHeight="1">
      <c r="A44" s="30"/>
      <c r="B44" s="25"/>
      <c r="C44" s="28"/>
      <c r="D44" s="45">
        <f t="shared" si="4"/>
        <v>28644</v>
      </c>
      <c r="E44" s="27" t="s">
        <v>63</v>
      </c>
      <c r="F44" s="39">
        <v>29010000</v>
      </c>
      <c r="G44" s="141">
        <v>0</v>
      </c>
      <c r="H44" s="142"/>
      <c r="I44" s="3">
        <v>28644</v>
      </c>
      <c r="J44" s="3"/>
      <c r="K44" s="2">
        <f t="shared" si="3"/>
        <v>28644</v>
      </c>
      <c r="L44" s="2"/>
      <c r="P44" s="2"/>
    </row>
    <row r="45" spans="1:16" s="1" customFormat="1" ht="15.75" customHeight="1">
      <c r="A45" s="30"/>
      <c r="B45" s="25"/>
      <c r="C45" s="28"/>
      <c r="D45" s="45">
        <f t="shared" si="4"/>
        <v>170000</v>
      </c>
      <c r="E45" s="27" t="s">
        <v>45</v>
      </c>
      <c r="F45" s="39">
        <v>11045000</v>
      </c>
      <c r="G45" s="141">
        <v>100000</v>
      </c>
      <c r="H45" s="142"/>
      <c r="I45" s="3">
        <v>70000</v>
      </c>
      <c r="J45" s="3"/>
      <c r="K45" s="2">
        <f t="shared" si="3"/>
        <v>170000</v>
      </c>
      <c r="L45" s="2"/>
      <c r="P45" s="2"/>
    </row>
    <row r="46" spans="1:16" s="1" customFormat="1" ht="15.75" customHeight="1">
      <c r="A46" s="30"/>
      <c r="B46" s="25"/>
      <c r="C46" s="28"/>
      <c r="D46" s="45">
        <f t="shared" si="4"/>
        <v>1051825</v>
      </c>
      <c r="E46" s="27" t="s">
        <v>61</v>
      </c>
      <c r="F46" s="39">
        <v>11042000</v>
      </c>
      <c r="G46" s="141">
        <v>80264</v>
      </c>
      <c r="H46" s="142"/>
      <c r="I46" s="3">
        <v>971561</v>
      </c>
      <c r="J46" s="3"/>
      <c r="K46" s="2">
        <f t="shared" si="3"/>
        <v>1051825</v>
      </c>
      <c r="L46" s="2"/>
      <c r="P46" s="2"/>
    </row>
    <row r="47" spans="1:16" s="1" customFormat="1" ht="15.75" customHeight="1">
      <c r="A47" s="30"/>
      <c r="B47" s="25"/>
      <c r="C47" s="28"/>
      <c r="D47" s="45">
        <f t="shared" si="4"/>
        <v>0</v>
      </c>
      <c r="E47" s="27" t="s">
        <v>27</v>
      </c>
      <c r="F47" s="39">
        <v>21010000</v>
      </c>
      <c r="G47" s="141">
        <v>0</v>
      </c>
      <c r="H47" s="142"/>
      <c r="I47" s="3">
        <v>0</v>
      </c>
      <c r="J47" s="3"/>
      <c r="K47" s="2">
        <f t="shared" si="3"/>
        <v>0</v>
      </c>
      <c r="L47" s="2"/>
      <c r="P47" s="2"/>
    </row>
    <row r="48" spans="1:16" s="1" customFormat="1" ht="15.75" customHeight="1">
      <c r="A48" s="30"/>
      <c r="B48" s="25"/>
      <c r="C48" s="28"/>
      <c r="D48" s="45">
        <f t="shared" si="4"/>
        <v>0</v>
      </c>
      <c r="E48" s="27" t="s">
        <v>38</v>
      </c>
      <c r="F48" s="39">
        <v>21030000</v>
      </c>
      <c r="G48" s="141">
        <v>0</v>
      </c>
      <c r="H48" s="142"/>
      <c r="I48" s="3">
        <v>0</v>
      </c>
      <c r="J48" s="3"/>
      <c r="K48" s="2">
        <f t="shared" si="3"/>
        <v>0</v>
      </c>
      <c r="L48" s="2"/>
      <c r="P48" s="2"/>
    </row>
    <row r="49" spans="1:16" s="1" customFormat="1" ht="15.75" customHeight="1">
      <c r="A49" s="30"/>
      <c r="B49" s="25"/>
      <c r="C49" s="28"/>
      <c r="D49" s="45">
        <f t="shared" si="4"/>
        <v>29563</v>
      </c>
      <c r="E49" s="27" t="s">
        <v>66</v>
      </c>
      <c r="F49" s="39">
        <v>21040016</v>
      </c>
      <c r="G49" s="141">
        <v>10500</v>
      </c>
      <c r="H49" s="142"/>
      <c r="I49" s="3">
        <v>19063</v>
      </c>
      <c r="J49" s="3"/>
      <c r="K49" s="2">
        <f t="shared" si="3"/>
        <v>29563</v>
      </c>
      <c r="L49" s="2"/>
      <c r="P49" s="2"/>
    </row>
    <row r="50" spans="1:16" s="1" customFormat="1" ht="15.75" customHeight="1">
      <c r="A50" s="30"/>
      <c r="B50" s="25"/>
      <c r="C50" s="28"/>
      <c r="D50" s="45">
        <f t="shared" si="4"/>
        <v>0</v>
      </c>
      <c r="E50" s="26" t="s">
        <v>15</v>
      </c>
      <c r="F50" s="39">
        <v>31000000</v>
      </c>
      <c r="G50" s="141">
        <v>0</v>
      </c>
      <c r="H50" s="142"/>
      <c r="I50" s="3">
        <v>0</v>
      </c>
      <c r="J50" s="3"/>
      <c r="K50" s="2">
        <f t="shared" si="3"/>
        <v>0</v>
      </c>
      <c r="L50" s="2"/>
      <c r="P50" s="2"/>
    </row>
    <row r="51" spans="1:16" s="1" customFormat="1" ht="15.75" customHeight="1">
      <c r="A51" s="30"/>
      <c r="B51" s="26"/>
      <c r="C51" s="24"/>
      <c r="D51" s="45">
        <f t="shared" si="4"/>
        <v>0</v>
      </c>
      <c r="E51" s="27" t="s">
        <v>42</v>
      </c>
      <c r="F51" s="39">
        <v>32000000</v>
      </c>
      <c r="G51" s="151">
        <v>0</v>
      </c>
      <c r="H51" s="152"/>
      <c r="I51" s="3">
        <v>0</v>
      </c>
      <c r="J51" s="3"/>
      <c r="K51" s="2">
        <f>G51+I51</f>
        <v>0</v>
      </c>
      <c r="L51" s="2"/>
      <c r="P51" s="2"/>
    </row>
    <row r="52" spans="1:16" s="1" customFormat="1" ht="15.75" customHeight="1">
      <c r="A52" s="30"/>
      <c r="B52" s="26"/>
      <c r="C52" s="24"/>
      <c r="D52" s="49">
        <f>SUM(D38:D51)</f>
        <v>2505528.8600000003</v>
      </c>
      <c r="E52" s="24"/>
      <c r="F52" s="50"/>
      <c r="G52" s="153">
        <f>SUM(G38:G51)</f>
        <v>549787.1799999999</v>
      </c>
      <c r="H52" s="154"/>
      <c r="I52" s="3">
        <f>SUM(I38:I51)</f>
        <v>1955741.68</v>
      </c>
      <c r="K52" s="6">
        <f>SUM(K18:K50)</f>
        <v>8697714.95</v>
      </c>
      <c r="L52" s="6"/>
      <c r="P52" s="2"/>
    </row>
    <row r="53" spans="1:16" s="1" customFormat="1" ht="15.75" customHeight="1">
      <c r="A53" s="100">
        <f>A37</f>
        <v>82000000</v>
      </c>
      <c r="B53" s="94">
        <f>SUM(B37)</f>
        <v>0</v>
      </c>
      <c r="C53" s="94">
        <f>SUM(C37)</f>
        <v>0</v>
      </c>
      <c r="D53" s="51">
        <f>D16+D36+D52</f>
        <v>25049654.479999997</v>
      </c>
      <c r="E53" s="42" t="s">
        <v>25</v>
      </c>
      <c r="F53" s="50"/>
      <c r="G53" s="153">
        <f>G16+G36+G52</f>
        <v>6596041.27</v>
      </c>
      <c r="H53" s="154"/>
      <c r="P53" s="2"/>
    </row>
    <row r="54" spans="1:16" s="1" customFormat="1" ht="15.75" customHeight="1">
      <c r="A54" s="108"/>
      <c r="B54" s="109"/>
      <c r="C54" s="109"/>
      <c r="D54" s="110"/>
      <c r="E54" s="41"/>
      <c r="F54" s="50"/>
      <c r="G54" s="111"/>
      <c r="H54" s="111"/>
      <c r="P54" s="2"/>
    </row>
    <row r="55" spans="1:10" ht="18" customHeight="1">
      <c r="A55" s="155" t="s">
        <v>28</v>
      </c>
      <c r="B55" s="155"/>
      <c r="C55" s="155"/>
      <c r="D55" s="155"/>
      <c r="E55" s="155"/>
      <c r="F55" s="155"/>
      <c r="G55" s="155"/>
      <c r="H55" s="155"/>
      <c r="I55" s="13"/>
      <c r="J55" s="13"/>
    </row>
    <row r="56" spans="1:16" s="1" customFormat="1" ht="15" customHeight="1">
      <c r="A56" s="179" t="s">
        <v>0</v>
      </c>
      <c r="B56" s="180"/>
      <c r="C56" s="180"/>
      <c r="D56" s="180"/>
      <c r="E56" s="181" t="s">
        <v>1</v>
      </c>
      <c r="F56" s="112"/>
      <c r="G56" s="113" t="s">
        <v>2</v>
      </c>
      <c r="H56" s="114"/>
      <c r="P56" s="2"/>
    </row>
    <row r="57" spans="1:16" s="1" customFormat="1" ht="13.5" customHeight="1">
      <c r="A57" s="115"/>
      <c r="B57" s="116" t="s">
        <v>57</v>
      </c>
      <c r="C57" s="116" t="s">
        <v>47</v>
      </c>
      <c r="D57" s="41" t="s">
        <v>48</v>
      </c>
      <c r="E57" s="182"/>
      <c r="F57" s="127" t="s">
        <v>98</v>
      </c>
      <c r="G57" s="184" t="s">
        <v>48</v>
      </c>
      <c r="H57" s="185"/>
      <c r="P57" s="2"/>
    </row>
    <row r="58" spans="1:16" s="1" customFormat="1" ht="13.5" customHeight="1">
      <c r="A58" s="119" t="s">
        <v>43</v>
      </c>
      <c r="B58" s="120" t="s">
        <v>58</v>
      </c>
      <c r="C58" s="42" t="s">
        <v>49</v>
      </c>
      <c r="D58" s="41" t="s">
        <v>49</v>
      </c>
      <c r="E58" s="182"/>
      <c r="F58" s="127" t="s">
        <v>99</v>
      </c>
      <c r="G58" s="117"/>
      <c r="H58" s="118"/>
      <c r="P58" s="2"/>
    </row>
    <row r="59" spans="1:16" s="1" customFormat="1" ht="13.5" customHeight="1" thickBot="1">
      <c r="A59" s="121" t="s">
        <v>49</v>
      </c>
      <c r="B59" s="122" t="s">
        <v>50</v>
      </c>
      <c r="C59" s="122"/>
      <c r="D59" s="123"/>
      <c r="E59" s="183"/>
      <c r="F59" s="124"/>
      <c r="G59" s="125" t="s">
        <v>3</v>
      </c>
      <c r="H59" s="126"/>
      <c r="P59" s="2"/>
    </row>
    <row r="60" spans="1:16" s="1" customFormat="1" ht="19.5" customHeight="1" thickTop="1">
      <c r="A60" s="74"/>
      <c r="B60" s="24"/>
      <c r="C60" s="26"/>
      <c r="D60" s="36"/>
      <c r="E60" s="35" t="s">
        <v>56</v>
      </c>
      <c r="F60" s="39"/>
      <c r="G60" s="137"/>
      <c r="H60" s="138"/>
      <c r="I60" s="1" t="s">
        <v>31</v>
      </c>
      <c r="K60" s="1" t="s">
        <v>26</v>
      </c>
      <c r="L60" s="7" t="s">
        <v>44</v>
      </c>
      <c r="P60" s="2"/>
    </row>
    <row r="61" spans="1:16" s="1" customFormat="1" ht="19.5" customHeight="1">
      <c r="A61" s="46">
        <v>19521070</v>
      </c>
      <c r="B61" s="70">
        <v>85932</v>
      </c>
      <c r="C61" s="69">
        <f>SUM(A61:B61)</f>
        <v>19607002</v>
      </c>
      <c r="D61" s="38">
        <f>K61</f>
        <v>4731239</v>
      </c>
      <c r="E61" s="24" t="s">
        <v>29</v>
      </c>
      <c r="F61" s="39" t="s">
        <v>85</v>
      </c>
      <c r="G61" s="141">
        <f>1436728-700+28644</f>
        <v>1464672</v>
      </c>
      <c r="H61" s="142"/>
      <c r="I61" s="3">
        <v>3266567</v>
      </c>
      <c r="J61" s="3"/>
      <c r="K61" s="8">
        <f aca="true" t="shared" si="5" ref="K61:K71">G61+I61</f>
        <v>4731239</v>
      </c>
      <c r="L61" s="9">
        <f>C61-D61</f>
        <v>14875763</v>
      </c>
      <c r="P61" s="2"/>
    </row>
    <row r="62" spans="1:16" s="1" customFormat="1" ht="19.5" customHeight="1">
      <c r="A62" s="46">
        <v>3598300</v>
      </c>
      <c r="B62" s="70">
        <v>0</v>
      </c>
      <c r="C62" s="69">
        <f aca="true" t="shared" si="6" ref="C62:C71">SUM(A62:B62)</f>
        <v>3598300</v>
      </c>
      <c r="D62" s="38">
        <f aca="true" t="shared" si="7" ref="D62:D68">K62</f>
        <v>899550</v>
      </c>
      <c r="E62" s="24" t="s">
        <v>76</v>
      </c>
      <c r="F62" s="39" t="s">
        <v>86</v>
      </c>
      <c r="G62" s="141">
        <v>299850</v>
      </c>
      <c r="H62" s="142"/>
      <c r="I62" s="3">
        <v>599700</v>
      </c>
      <c r="J62" s="3"/>
      <c r="K62" s="8">
        <f t="shared" si="5"/>
        <v>899550</v>
      </c>
      <c r="L62" s="9">
        <f aca="true" t="shared" si="8" ref="L62:L71">C62-D62</f>
        <v>2698750</v>
      </c>
      <c r="P62" s="2"/>
    </row>
    <row r="63" spans="1:16" s="1" customFormat="1" ht="19.5" customHeight="1">
      <c r="A63" s="45">
        <f>6538000+2380100+697900+8345300+3170100</f>
        <v>21131400</v>
      </c>
      <c r="B63" s="70">
        <v>0</v>
      </c>
      <c r="C63" s="69">
        <f t="shared" si="6"/>
        <v>21131400</v>
      </c>
      <c r="D63" s="38">
        <f t="shared" si="7"/>
        <v>4251362.66</v>
      </c>
      <c r="E63" s="24" t="s">
        <v>77</v>
      </c>
      <c r="F63" s="39" t="s">
        <v>87</v>
      </c>
      <c r="G63" s="141">
        <f>800877.66+612495</f>
        <v>1413372.6600000001</v>
      </c>
      <c r="H63" s="142"/>
      <c r="I63" s="3">
        <v>2837990</v>
      </c>
      <c r="J63" s="3"/>
      <c r="K63" s="8">
        <f t="shared" si="5"/>
        <v>4251362.66</v>
      </c>
      <c r="L63" s="9">
        <f t="shared" si="8"/>
        <v>16880037.34</v>
      </c>
      <c r="P63" s="2"/>
    </row>
    <row r="64" spans="1:16" s="1" customFormat="1" ht="19.5" customHeight="1">
      <c r="A64" s="46">
        <f>447200+370000+195000+96000+174000</f>
        <v>1282200</v>
      </c>
      <c r="B64" s="70">
        <v>0</v>
      </c>
      <c r="C64" s="69">
        <f t="shared" si="6"/>
        <v>1282200</v>
      </c>
      <c r="D64" s="38">
        <f t="shared" si="7"/>
        <v>210920</v>
      </c>
      <c r="E64" s="24" t="s">
        <v>9</v>
      </c>
      <c r="F64" s="39" t="s">
        <v>88</v>
      </c>
      <c r="G64" s="141">
        <v>97440</v>
      </c>
      <c r="H64" s="142"/>
      <c r="I64" s="3">
        <v>113480</v>
      </c>
      <c r="J64" s="3"/>
      <c r="K64" s="8">
        <f t="shared" si="5"/>
        <v>210920</v>
      </c>
      <c r="L64" s="9">
        <f t="shared" si="8"/>
        <v>1071280</v>
      </c>
      <c r="P64" s="2"/>
    </row>
    <row r="65" spans="1:16" s="1" customFormat="1" ht="19.5" customHeight="1">
      <c r="A65" s="46">
        <f>2969000+630000+1315000+360000+3572450+837000+280000+150000+140000+30000</f>
        <v>10283450</v>
      </c>
      <c r="B65" s="70">
        <v>0</v>
      </c>
      <c r="C65" s="69">
        <f t="shared" si="6"/>
        <v>10283450</v>
      </c>
      <c r="D65" s="38">
        <f t="shared" si="7"/>
        <v>1479179.8599999999</v>
      </c>
      <c r="E65" s="24" t="s">
        <v>10</v>
      </c>
      <c r="F65" s="39" t="s">
        <v>89</v>
      </c>
      <c r="G65" s="141">
        <f>5328+5268+6200+307072.41</f>
        <v>323868.41</v>
      </c>
      <c r="H65" s="142"/>
      <c r="I65" s="3">
        <v>1155311.45</v>
      </c>
      <c r="J65" s="3"/>
      <c r="K65" s="8">
        <f t="shared" si="5"/>
        <v>1479179.8599999999</v>
      </c>
      <c r="L65" s="9">
        <f t="shared" si="8"/>
        <v>8804270.14</v>
      </c>
      <c r="P65" s="2"/>
    </row>
    <row r="66" spans="1:16" s="1" customFormat="1" ht="19.5" customHeight="1">
      <c r="A66" s="46">
        <f>1095000+265000+250000+389500+2608000+1420000</f>
        <v>6027500</v>
      </c>
      <c r="B66" s="70">
        <v>0</v>
      </c>
      <c r="C66" s="69">
        <f t="shared" si="6"/>
        <v>6027500</v>
      </c>
      <c r="D66" s="38">
        <f t="shared" si="7"/>
        <v>369557.7</v>
      </c>
      <c r="E66" s="24" t="s">
        <v>11</v>
      </c>
      <c r="F66" s="39" t="s">
        <v>90</v>
      </c>
      <c r="G66" s="141">
        <v>219255.6</v>
      </c>
      <c r="H66" s="142"/>
      <c r="I66" s="3">
        <v>150302.1</v>
      </c>
      <c r="J66" s="3"/>
      <c r="K66" s="8">
        <f t="shared" si="5"/>
        <v>369557.7</v>
      </c>
      <c r="L66" s="9">
        <f t="shared" si="8"/>
        <v>5657942.3</v>
      </c>
      <c r="P66" s="2"/>
    </row>
    <row r="67" spans="1:16" s="1" customFormat="1" ht="19.5" customHeight="1">
      <c r="A67" s="46">
        <f>695000+298000+71000</f>
        <v>1064000</v>
      </c>
      <c r="B67" s="70">
        <v>0</v>
      </c>
      <c r="C67" s="69">
        <f t="shared" si="6"/>
        <v>1064000</v>
      </c>
      <c r="D67" s="38">
        <f t="shared" si="7"/>
        <v>214142.49</v>
      </c>
      <c r="E67" s="24" t="s">
        <v>12</v>
      </c>
      <c r="F67" s="39" t="s">
        <v>91</v>
      </c>
      <c r="G67" s="156">
        <v>68590.47</v>
      </c>
      <c r="H67" s="157"/>
      <c r="I67" s="3">
        <v>145552.02</v>
      </c>
      <c r="J67" s="3"/>
      <c r="K67" s="8">
        <f t="shared" si="5"/>
        <v>214142.49</v>
      </c>
      <c r="L67" s="9">
        <f t="shared" si="8"/>
        <v>849857.51</v>
      </c>
      <c r="P67" s="2"/>
    </row>
    <row r="68" spans="1:16" s="1" customFormat="1" ht="19.5" customHeight="1">
      <c r="A68" s="97">
        <f>320000+3928000+51080+400000+30000</f>
        <v>4729080</v>
      </c>
      <c r="B68" s="70">
        <v>0</v>
      </c>
      <c r="C68" s="69">
        <f t="shared" si="6"/>
        <v>4729080</v>
      </c>
      <c r="D68" s="38">
        <f t="shared" si="7"/>
        <v>955000</v>
      </c>
      <c r="E68" s="24" t="s">
        <v>8</v>
      </c>
      <c r="F68" s="39" t="s">
        <v>92</v>
      </c>
      <c r="G68" s="139">
        <v>0</v>
      </c>
      <c r="H68" s="140"/>
      <c r="I68" s="3">
        <v>955000</v>
      </c>
      <c r="J68" s="3"/>
      <c r="K68" s="8">
        <f t="shared" si="5"/>
        <v>955000</v>
      </c>
      <c r="L68" s="9">
        <f t="shared" si="8"/>
        <v>3774080</v>
      </c>
      <c r="P68" s="2"/>
    </row>
    <row r="69" spans="1:16" s="1" customFormat="1" ht="19.5" customHeight="1">
      <c r="A69" s="45">
        <f>651600+139700+302600+316000+4125100</f>
        <v>5535000</v>
      </c>
      <c r="B69" s="70">
        <v>0</v>
      </c>
      <c r="C69" s="69">
        <f t="shared" si="6"/>
        <v>5535000</v>
      </c>
      <c r="D69" s="38">
        <f>K69</f>
        <v>0</v>
      </c>
      <c r="E69" s="24" t="s">
        <v>13</v>
      </c>
      <c r="F69" s="39" t="s">
        <v>93</v>
      </c>
      <c r="G69" s="141">
        <v>0</v>
      </c>
      <c r="H69" s="142"/>
      <c r="I69" s="3">
        <v>0</v>
      </c>
      <c r="J69" s="3"/>
      <c r="K69" s="8">
        <f t="shared" si="5"/>
        <v>0</v>
      </c>
      <c r="L69" s="9">
        <f t="shared" si="8"/>
        <v>5535000</v>
      </c>
      <c r="P69" s="2"/>
    </row>
    <row r="70" spans="1:16" s="1" customFormat="1" ht="19.5" customHeight="1">
      <c r="A70" s="98">
        <f>450000+8378000</f>
        <v>8828000</v>
      </c>
      <c r="B70" s="70">
        <v>0</v>
      </c>
      <c r="C70" s="69">
        <f t="shared" si="6"/>
        <v>8828000</v>
      </c>
      <c r="D70" s="38">
        <f>K70</f>
        <v>0</v>
      </c>
      <c r="E70" s="24" t="s">
        <v>14</v>
      </c>
      <c r="F70" s="39">
        <v>54200000</v>
      </c>
      <c r="G70" s="141">
        <v>0</v>
      </c>
      <c r="H70" s="142"/>
      <c r="I70" s="3">
        <v>0</v>
      </c>
      <c r="J70" s="3"/>
      <c r="K70" s="8">
        <f t="shared" si="5"/>
        <v>0</v>
      </c>
      <c r="L70" s="9">
        <f t="shared" si="8"/>
        <v>8828000</v>
      </c>
      <c r="P70" s="2"/>
    </row>
    <row r="71" spans="1:16" s="1" customFormat="1" ht="19.5" customHeight="1">
      <c r="A71" s="98">
        <v>0</v>
      </c>
      <c r="B71" s="70">
        <v>0</v>
      </c>
      <c r="C71" s="69">
        <f t="shared" si="6"/>
        <v>0</v>
      </c>
      <c r="D71" s="38">
        <f>K71</f>
        <v>0</v>
      </c>
      <c r="E71" s="31" t="s">
        <v>94</v>
      </c>
      <c r="F71" s="39">
        <v>55000000</v>
      </c>
      <c r="G71" s="147">
        <v>0</v>
      </c>
      <c r="H71" s="148"/>
      <c r="I71" s="3">
        <v>0</v>
      </c>
      <c r="J71" s="3"/>
      <c r="K71" s="8">
        <f t="shared" si="5"/>
        <v>0</v>
      </c>
      <c r="L71" s="9">
        <f t="shared" si="8"/>
        <v>0</v>
      </c>
      <c r="P71" s="2"/>
    </row>
    <row r="72" spans="1:16" s="1" customFormat="1" ht="19.5" customHeight="1" thickBot="1">
      <c r="A72" s="75"/>
      <c r="B72" s="42"/>
      <c r="C72" s="52"/>
      <c r="D72" s="53">
        <f>SUM(D60:D70)</f>
        <v>13110951.709999999</v>
      </c>
      <c r="E72" s="31"/>
      <c r="F72" s="28"/>
      <c r="G72" s="158">
        <f>SUM(G60:G70)</f>
        <v>3887049.1400000006</v>
      </c>
      <c r="H72" s="159"/>
      <c r="I72" s="4">
        <f>SUM(I61:I71)</f>
        <v>9223902.57</v>
      </c>
      <c r="K72" s="3"/>
      <c r="L72" s="3">
        <f>SUM(L61:L70)</f>
        <v>68974980.28999999</v>
      </c>
      <c r="P72" s="2"/>
    </row>
    <row r="73" spans="1:16" s="1" customFormat="1" ht="19.5" customHeight="1" thickTop="1">
      <c r="A73" s="30"/>
      <c r="B73" s="24"/>
      <c r="C73" s="27"/>
      <c r="D73" s="45">
        <f>K73</f>
        <v>0</v>
      </c>
      <c r="E73" s="27" t="s">
        <v>15</v>
      </c>
      <c r="F73" s="28">
        <v>31000000</v>
      </c>
      <c r="G73" s="151">
        <v>0</v>
      </c>
      <c r="H73" s="152"/>
      <c r="I73" s="3">
        <v>0</v>
      </c>
      <c r="J73" s="3"/>
      <c r="K73" s="2">
        <f aca="true" t="shared" si="9" ref="K73:K86">G73+I73</f>
        <v>0</v>
      </c>
      <c r="L73" s="2"/>
      <c r="P73" s="2"/>
    </row>
    <row r="74" spans="1:16" s="1" customFormat="1" ht="19.5" customHeight="1">
      <c r="A74" s="30"/>
      <c r="B74" s="24"/>
      <c r="C74" s="27"/>
      <c r="D74" s="45">
        <f>K74</f>
        <v>28644</v>
      </c>
      <c r="E74" s="27" t="s">
        <v>63</v>
      </c>
      <c r="F74" s="28">
        <v>29010000</v>
      </c>
      <c r="G74" s="151">
        <v>0</v>
      </c>
      <c r="H74" s="152"/>
      <c r="I74" s="3">
        <v>28644</v>
      </c>
      <c r="J74" s="3"/>
      <c r="K74" s="2">
        <f t="shared" si="9"/>
        <v>28644</v>
      </c>
      <c r="L74" s="2"/>
      <c r="P74" s="2"/>
    </row>
    <row r="75" spans="1:16" s="1" customFormat="1" ht="19.5" customHeight="1">
      <c r="A75" s="30"/>
      <c r="B75" s="24"/>
      <c r="C75" s="27"/>
      <c r="D75" s="45">
        <f aca="true" t="shared" si="10" ref="D75:D86">K75</f>
        <v>105110</v>
      </c>
      <c r="E75" s="27" t="s">
        <v>65</v>
      </c>
      <c r="F75" s="39">
        <v>11041000</v>
      </c>
      <c r="G75" s="151">
        <v>6200</v>
      </c>
      <c r="H75" s="152"/>
      <c r="I75" s="3">
        <v>98910</v>
      </c>
      <c r="J75" s="3"/>
      <c r="K75" s="2">
        <f t="shared" si="9"/>
        <v>105110</v>
      </c>
      <c r="L75" s="2">
        <v>25968108</v>
      </c>
      <c r="P75" s="2"/>
    </row>
    <row r="76" spans="1:16" s="1" customFormat="1" ht="19.5" customHeight="1">
      <c r="A76" s="30"/>
      <c r="B76" s="24"/>
      <c r="C76" s="27"/>
      <c r="D76" s="45">
        <f t="shared" si="10"/>
        <v>0</v>
      </c>
      <c r="E76" s="27" t="s">
        <v>30</v>
      </c>
      <c r="F76" s="39">
        <v>11047000</v>
      </c>
      <c r="G76" s="151">
        <v>0</v>
      </c>
      <c r="H76" s="152"/>
      <c r="I76" s="3">
        <v>0</v>
      </c>
      <c r="J76" s="3"/>
      <c r="K76" s="2">
        <f t="shared" si="9"/>
        <v>0</v>
      </c>
      <c r="L76" s="2" t="e">
        <f>#REF!-L75</f>
        <v>#REF!</v>
      </c>
      <c r="P76" s="2"/>
    </row>
    <row r="77" spans="1:16" s="1" customFormat="1" ht="19.5" customHeight="1">
      <c r="A77" s="30"/>
      <c r="B77" s="24"/>
      <c r="C77" s="26"/>
      <c r="D77" s="45">
        <f t="shared" si="10"/>
        <v>0</v>
      </c>
      <c r="E77" s="24" t="s">
        <v>36</v>
      </c>
      <c r="F77" s="39">
        <v>11043002</v>
      </c>
      <c r="G77" s="151">
        <v>0</v>
      </c>
      <c r="H77" s="152"/>
      <c r="I77" s="3">
        <v>0</v>
      </c>
      <c r="J77" s="3"/>
      <c r="K77" s="2">
        <f t="shared" si="9"/>
        <v>0</v>
      </c>
      <c r="L77" s="2"/>
      <c r="P77" s="2"/>
    </row>
    <row r="78" spans="1:16" s="1" customFormat="1" ht="19.5" customHeight="1">
      <c r="A78" s="30"/>
      <c r="B78" s="24"/>
      <c r="C78" s="26"/>
      <c r="D78" s="45">
        <f t="shared" si="10"/>
        <v>0</v>
      </c>
      <c r="E78" s="24" t="s">
        <v>39</v>
      </c>
      <c r="F78" s="39">
        <v>11043003</v>
      </c>
      <c r="G78" s="151">
        <v>0</v>
      </c>
      <c r="H78" s="152"/>
      <c r="I78" s="3">
        <v>0</v>
      </c>
      <c r="J78" s="3"/>
      <c r="K78" s="2">
        <f t="shared" si="9"/>
        <v>0</v>
      </c>
      <c r="L78" s="2"/>
      <c r="P78" s="2"/>
    </row>
    <row r="79" spans="1:16" s="1" customFormat="1" ht="19.5" customHeight="1">
      <c r="A79" s="30"/>
      <c r="B79" s="24"/>
      <c r="C79" s="26"/>
      <c r="D79" s="45">
        <f t="shared" si="10"/>
        <v>0</v>
      </c>
      <c r="E79" s="27" t="s">
        <v>45</v>
      </c>
      <c r="F79" s="39">
        <v>11045000</v>
      </c>
      <c r="G79" s="151">
        <v>0</v>
      </c>
      <c r="H79" s="152"/>
      <c r="I79" s="3">
        <v>0</v>
      </c>
      <c r="J79" s="3"/>
      <c r="K79" s="2">
        <f t="shared" si="9"/>
        <v>0</v>
      </c>
      <c r="L79" s="2"/>
      <c r="P79" s="2"/>
    </row>
    <row r="80" spans="1:16" s="1" customFormat="1" ht="19.5" customHeight="1">
      <c r="A80" s="30"/>
      <c r="B80" s="24"/>
      <c r="C80" s="26"/>
      <c r="D80" s="45">
        <f t="shared" si="10"/>
        <v>28644</v>
      </c>
      <c r="E80" s="24" t="s">
        <v>62</v>
      </c>
      <c r="F80" s="39">
        <v>19040000</v>
      </c>
      <c r="G80" s="151">
        <v>0</v>
      </c>
      <c r="H80" s="152"/>
      <c r="I80" s="3">
        <v>28644</v>
      </c>
      <c r="J80" s="3"/>
      <c r="K80" s="2">
        <f t="shared" si="9"/>
        <v>28644</v>
      </c>
      <c r="L80" s="2"/>
      <c r="P80" s="2"/>
    </row>
    <row r="81" spans="1:16" s="1" customFormat="1" ht="15.75" customHeight="1">
      <c r="A81" s="30"/>
      <c r="B81" s="25"/>
      <c r="C81" s="28"/>
      <c r="D81" s="45">
        <f>K81</f>
        <v>0</v>
      </c>
      <c r="E81" s="27" t="s">
        <v>95</v>
      </c>
      <c r="F81" s="39">
        <v>11069999</v>
      </c>
      <c r="G81" s="141">
        <v>0</v>
      </c>
      <c r="H81" s="142"/>
      <c r="I81" s="3">
        <v>0</v>
      </c>
      <c r="J81" s="3"/>
      <c r="K81" s="2">
        <f>SUM(G81+I81)</f>
        <v>0</v>
      </c>
      <c r="L81" s="2"/>
      <c r="P81" s="2"/>
    </row>
    <row r="82" spans="1:16" s="1" customFormat="1" ht="19.5" customHeight="1">
      <c r="A82" s="24"/>
      <c r="B82" s="24"/>
      <c r="C82" s="26"/>
      <c r="D82" s="45">
        <f>K82</f>
        <v>0</v>
      </c>
      <c r="E82" s="24" t="s">
        <v>61</v>
      </c>
      <c r="F82" s="39">
        <v>11042000</v>
      </c>
      <c r="G82" s="151">
        <v>0</v>
      </c>
      <c r="H82" s="152"/>
      <c r="I82" s="3">
        <v>0</v>
      </c>
      <c r="J82" s="3"/>
      <c r="K82" s="2">
        <f t="shared" si="9"/>
        <v>0</v>
      </c>
      <c r="L82" s="2"/>
      <c r="P82" s="2"/>
    </row>
    <row r="83" spans="1:16" s="1" customFormat="1" ht="19.5" customHeight="1">
      <c r="A83" s="24"/>
      <c r="B83" s="24"/>
      <c r="C83" s="26"/>
      <c r="D83" s="45">
        <f t="shared" si="10"/>
        <v>1142335.23</v>
      </c>
      <c r="E83" s="24" t="s">
        <v>33</v>
      </c>
      <c r="F83" s="28">
        <v>21040000</v>
      </c>
      <c r="G83" s="151">
        <v>382659.33</v>
      </c>
      <c r="H83" s="152"/>
      <c r="I83" s="3">
        <v>759675.9</v>
      </c>
      <c r="J83" s="3"/>
      <c r="K83" s="2">
        <f t="shared" si="9"/>
        <v>1142335.23</v>
      </c>
      <c r="L83" s="2"/>
      <c r="P83" s="2"/>
    </row>
    <row r="84" spans="1:16" s="1" customFormat="1" ht="19.5" customHeight="1">
      <c r="A84" s="24"/>
      <c r="B84" s="24"/>
      <c r="C84" s="26"/>
      <c r="D84" s="45">
        <f t="shared" si="10"/>
        <v>0</v>
      </c>
      <c r="E84" s="24" t="s">
        <v>66</v>
      </c>
      <c r="F84" s="28">
        <v>21040016</v>
      </c>
      <c r="G84" s="151">
        <v>0</v>
      </c>
      <c r="H84" s="152"/>
      <c r="I84" s="3">
        <v>0</v>
      </c>
      <c r="J84" s="3"/>
      <c r="K84" s="2">
        <f t="shared" si="9"/>
        <v>0</v>
      </c>
      <c r="L84" s="2"/>
      <c r="P84" s="2"/>
    </row>
    <row r="85" spans="1:16" s="1" customFormat="1" ht="19.5" customHeight="1">
      <c r="A85" s="24"/>
      <c r="B85" s="24"/>
      <c r="C85" s="26"/>
      <c r="D85" s="45">
        <f t="shared" si="10"/>
        <v>6205909.25</v>
      </c>
      <c r="E85" s="24" t="s">
        <v>37</v>
      </c>
      <c r="F85" s="28">
        <v>21010000</v>
      </c>
      <c r="G85" s="151">
        <v>991264</v>
      </c>
      <c r="H85" s="152"/>
      <c r="I85" s="3">
        <v>5214645.25</v>
      </c>
      <c r="J85" s="3"/>
      <c r="K85" s="2">
        <f t="shared" si="9"/>
        <v>6205909.25</v>
      </c>
      <c r="L85" s="2"/>
      <c r="P85" s="2"/>
    </row>
    <row r="86" spans="1:16" s="1" customFormat="1" ht="19.5" customHeight="1">
      <c r="A86" s="24"/>
      <c r="B86" s="24"/>
      <c r="C86" s="26"/>
      <c r="D86" s="45">
        <f t="shared" si="10"/>
        <v>3100</v>
      </c>
      <c r="E86" s="24" t="s">
        <v>38</v>
      </c>
      <c r="F86" s="28">
        <v>21030000</v>
      </c>
      <c r="G86" s="151">
        <v>0</v>
      </c>
      <c r="H86" s="152"/>
      <c r="I86" s="3">
        <v>3100</v>
      </c>
      <c r="J86" s="3"/>
      <c r="K86" s="2">
        <f t="shared" si="9"/>
        <v>3100</v>
      </c>
      <c r="L86" s="2"/>
      <c r="P86" s="2"/>
    </row>
    <row r="87" spans="1:16" s="1" customFormat="1" ht="19.5" customHeight="1" thickBot="1">
      <c r="A87" s="29"/>
      <c r="B87" s="24"/>
      <c r="C87" s="26"/>
      <c r="D87" s="82">
        <f>SUM(D73:D86)</f>
        <v>7513742.48</v>
      </c>
      <c r="E87" s="29"/>
      <c r="F87" s="50"/>
      <c r="G87" s="158">
        <f>SUM(G73:G86)</f>
        <v>1380123.33</v>
      </c>
      <c r="H87" s="159"/>
      <c r="I87" s="3">
        <f>SUM(I73:I86)</f>
        <v>6133619.15</v>
      </c>
      <c r="K87" s="3">
        <f>SUM(K73:K86)</f>
        <v>7513742.48</v>
      </c>
      <c r="L87" s="3"/>
      <c r="P87" s="2"/>
    </row>
    <row r="88" spans="1:16" s="1" customFormat="1" ht="19.5" customHeight="1" thickTop="1">
      <c r="A88" s="71">
        <f>SUM(A61:A87)</f>
        <v>82000000</v>
      </c>
      <c r="B88" s="71">
        <f>SUM(B61:B87)</f>
        <v>85932</v>
      </c>
      <c r="C88" s="71">
        <f>SUM(C61:C87)</f>
        <v>82085932</v>
      </c>
      <c r="D88" s="81">
        <f>D72+D87</f>
        <v>20624694.189999998</v>
      </c>
      <c r="E88" s="56" t="s">
        <v>20</v>
      </c>
      <c r="F88" s="57"/>
      <c r="G88" s="164">
        <f>G72+G87</f>
        <v>5267172.470000001</v>
      </c>
      <c r="H88" s="165"/>
      <c r="P88" s="2"/>
    </row>
    <row r="89" spans="1:16" s="1" customFormat="1" ht="19.5" customHeight="1">
      <c r="A89" s="58"/>
      <c r="B89" s="58"/>
      <c r="C89" s="58"/>
      <c r="D89" s="59">
        <f>D53-D88</f>
        <v>4424960.289999999</v>
      </c>
      <c r="E89" s="25" t="s">
        <v>21</v>
      </c>
      <c r="F89" s="50"/>
      <c r="G89" s="166"/>
      <c r="H89" s="167"/>
      <c r="K89" s="1">
        <v>49617015.23</v>
      </c>
      <c r="P89" s="2"/>
    </row>
    <row r="90" spans="1:16" s="1" customFormat="1" ht="19.5" customHeight="1">
      <c r="A90" s="26"/>
      <c r="B90" s="26"/>
      <c r="C90" s="26"/>
      <c r="D90" s="60"/>
      <c r="E90" s="26" t="s">
        <v>22</v>
      </c>
      <c r="F90" s="50"/>
      <c r="G90" s="141"/>
      <c r="H90" s="142"/>
      <c r="K90" s="1">
        <v>49374015.23</v>
      </c>
      <c r="P90" s="2"/>
    </row>
    <row r="91" spans="1:16" s="1" customFormat="1" ht="19.5" customHeight="1">
      <c r="A91" s="26"/>
      <c r="B91" s="26"/>
      <c r="C91" s="26"/>
      <c r="D91" s="61"/>
      <c r="E91" s="26" t="s">
        <v>23</v>
      </c>
      <c r="F91" s="50"/>
      <c r="G91" s="160">
        <f>G53-G88</f>
        <v>1328868.7999999989</v>
      </c>
      <c r="H91" s="161"/>
      <c r="K91" s="1">
        <f>K89-K90</f>
        <v>243000</v>
      </c>
      <c r="P91" s="2"/>
    </row>
    <row r="92" spans="1:16" s="1" customFormat="1" ht="19.5" customHeight="1" thickBot="1">
      <c r="A92" s="26"/>
      <c r="B92" s="26"/>
      <c r="C92" s="26"/>
      <c r="D92" s="54">
        <f>D8+D53-D88</f>
        <v>53995696.05999997</v>
      </c>
      <c r="E92" s="25" t="s">
        <v>24</v>
      </c>
      <c r="F92" s="50"/>
      <c r="G92" s="158">
        <f>G8+G53-G88</f>
        <v>53995696.05999999</v>
      </c>
      <c r="H92" s="159"/>
      <c r="I92" s="2">
        <f>21534904.15+1741777.48+930067.16+29788947.27</f>
        <v>53995696.06</v>
      </c>
      <c r="J92" s="2"/>
      <c r="K92" s="10">
        <f>G92-I92</f>
        <v>0</v>
      </c>
      <c r="L92" s="10"/>
      <c r="P92" s="2"/>
    </row>
    <row r="93" spans="1:16" s="1" customFormat="1" ht="14.25" customHeight="1" thickTop="1">
      <c r="A93" s="26"/>
      <c r="B93" s="26"/>
      <c r="C93" s="26"/>
      <c r="D93" s="62"/>
      <c r="E93" s="63"/>
      <c r="F93" s="25"/>
      <c r="G93" s="62"/>
      <c r="H93" s="64"/>
      <c r="I93" s="3">
        <f>G92-I92</f>
        <v>0</v>
      </c>
      <c r="J93" s="3"/>
      <c r="K93" s="10">
        <v>55106253.61699999</v>
      </c>
      <c r="L93" s="10"/>
      <c r="P93" s="2"/>
    </row>
    <row r="94" spans="1:16" s="1" customFormat="1" ht="18.75" customHeight="1">
      <c r="A94" s="26"/>
      <c r="B94" s="26"/>
      <c r="C94" s="26"/>
      <c r="D94" s="62"/>
      <c r="E94" s="63"/>
      <c r="F94" s="25"/>
      <c r="G94" s="62"/>
      <c r="H94" s="64"/>
      <c r="I94" s="3"/>
      <c r="J94" s="3"/>
      <c r="K94" s="10"/>
      <c r="L94" s="10"/>
      <c r="P94" s="2"/>
    </row>
    <row r="95" spans="1:16" s="1" customFormat="1" ht="22.5" customHeight="1">
      <c r="A95" s="102" t="s">
        <v>41</v>
      </c>
      <c r="B95" s="103"/>
      <c r="C95" s="103"/>
      <c r="D95" s="162" t="s">
        <v>96</v>
      </c>
      <c r="E95" s="162"/>
      <c r="F95" s="162"/>
      <c r="G95" s="162"/>
      <c r="H95" s="162"/>
      <c r="I95" s="3"/>
      <c r="K95" s="10"/>
      <c r="L95" s="10"/>
      <c r="P95" s="2"/>
    </row>
    <row r="96" spans="1:16" s="1" customFormat="1" ht="22.5" customHeight="1">
      <c r="A96" s="102" t="s">
        <v>64</v>
      </c>
      <c r="B96" s="103"/>
      <c r="C96" s="103"/>
      <c r="D96" s="104" t="s">
        <v>101</v>
      </c>
      <c r="E96" s="104"/>
      <c r="F96" s="104"/>
      <c r="G96" s="104"/>
      <c r="H96" s="64"/>
      <c r="I96" s="3"/>
      <c r="K96" s="10"/>
      <c r="L96" s="10"/>
      <c r="P96" s="2"/>
    </row>
    <row r="97" spans="1:16" s="1" customFormat="1" ht="14.25" customHeight="1">
      <c r="A97" s="105" t="s">
        <v>60</v>
      </c>
      <c r="B97" s="105"/>
      <c r="C97" s="105"/>
      <c r="D97" s="106" t="s">
        <v>103</v>
      </c>
      <c r="F97" s="104"/>
      <c r="G97" s="107"/>
      <c r="H97" s="25"/>
      <c r="K97" s="2"/>
      <c r="L97" s="2"/>
      <c r="P97" s="2"/>
    </row>
    <row r="98" spans="1:16" s="1" customFormat="1" ht="18.75" customHeight="1">
      <c r="A98" s="26"/>
      <c r="B98" s="26"/>
      <c r="C98" s="26"/>
      <c r="D98" s="106" t="s">
        <v>102</v>
      </c>
      <c r="E98" s="63"/>
      <c r="F98" s="25"/>
      <c r="G98" s="62"/>
      <c r="H98" s="64"/>
      <c r="I98" s="3"/>
      <c r="J98" s="3"/>
      <c r="K98" s="10"/>
      <c r="L98" s="10"/>
      <c r="P98" s="2"/>
    </row>
    <row r="99" spans="1:16" s="1" customFormat="1" ht="18.75" customHeight="1">
      <c r="A99" s="26"/>
      <c r="B99" s="26"/>
      <c r="C99" s="26"/>
      <c r="D99" s="62"/>
      <c r="E99" s="63"/>
      <c r="F99" s="25"/>
      <c r="G99" s="62"/>
      <c r="H99" s="64"/>
      <c r="I99" s="3"/>
      <c r="J99" s="3"/>
      <c r="K99" s="10"/>
      <c r="L99" s="10"/>
      <c r="P99" s="2"/>
    </row>
    <row r="100" spans="1:16" s="1" customFormat="1" ht="18.75" customHeight="1">
      <c r="A100" s="26"/>
      <c r="B100" s="26"/>
      <c r="C100" s="26"/>
      <c r="D100" s="62"/>
      <c r="E100" s="63"/>
      <c r="F100" s="25"/>
      <c r="G100" s="62"/>
      <c r="H100" s="64"/>
      <c r="I100" s="3"/>
      <c r="J100" s="3"/>
      <c r="K100" s="10"/>
      <c r="L100" s="10"/>
      <c r="P100" s="2"/>
    </row>
    <row r="101" spans="1:16" s="1" customFormat="1" ht="18.75" customHeight="1">
      <c r="A101" s="26"/>
      <c r="B101" s="26"/>
      <c r="C101" s="26"/>
      <c r="D101" s="62"/>
      <c r="E101" s="63"/>
      <c r="F101" s="25"/>
      <c r="G101" s="62"/>
      <c r="H101" s="64"/>
      <c r="I101" s="3"/>
      <c r="J101" s="3"/>
      <c r="K101" s="10"/>
      <c r="L101" s="10"/>
      <c r="P101" s="2"/>
    </row>
    <row r="102" spans="1:16" s="1" customFormat="1" ht="22.5" customHeight="1">
      <c r="A102" s="65" t="s">
        <v>41</v>
      </c>
      <c r="B102" s="26"/>
      <c r="C102" s="26"/>
      <c r="D102" s="163" t="s">
        <v>59</v>
      </c>
      <c r="E102" s="163"/>
      <c r="F102" s="163"/>
      <c r="G102" s="163"/>
      <c r="H102" s="64"/>
      <c r="I102" s="3"/>
      <c r="K102" s="10"/>
      <c r="L102" s="10"/>
      <c r="P102" s="2"/>
    </row>
    <row r="103" spans="1:16" s="1" customFormat="1" ht="22.5" customHeight="1">
      <c r="A103" s="73" t="s">
        <v>72</v>
      </c>
      <c r="B103" s="26"/>
      <c r="C103" s="26"/>
      <c r="D103" s="63" t="s">
        <v>73</v>
      </c>
      <c r="E103" s="63"/>
      <c r="F103" s="63"/>
      <c r="G103" s="63"/>
      <c r="H103" s="64"/>
      <c r="I103" s="3"/>
      <c r="K103" s="10"/>
      <c r="L103" s="10"/>
      <c r="P103" s="2"/>
    </row>
    <row r="104" spans="1:16" s="1" customFormat="1" ht="14.25" customHeight="1">
      <c r="A104" s="95" t="s">
        <v>71</v>
      </c>
      <c r="B104" s="73"/>
      <c r="C104" s="73"/>
      <c r="D104" s="67" t="s">
        <v>75</v>
      </c>
      <c r="E104" s="66"/>
      <c r="F104" s="63"/>
      <c r="G104" s="68"/>
      <c r="H104" s="25"/>
      <c r="K104" s="2"/>
      <c r="L104" s="2"/>
      <c r="P104" s="2"/>
    </row>
    <row r="105" spans="1:12" ht="17.25" customHeight="1">
      <c r="A105" s="73" t="s">
        <v>60</v>
      </c>
      <c r="B105" s="76"/>
      <c r="C105" s="76"/>
      <c r="D105" s="67" t="s">
        <v>74</v>
      </c>
      <c r="E105" s="77"/>
      <c r="F105" s="78"/>
      <c r="G105" s="79"/>
      <c r="H105" s="80"/>
      <c r="K105" s="12"/>
      <c r="L105" s="12"/>
    </row>
    <row r="106" spans="1:15" ht="21" customHeight="1">
      <c r="A106" s="18"/>
      <c r="B106" s="18"/>
      <c r="C106" s="18"/>
      <c r="D106" s="18"/>
      <c r="E106" s="21"/>
      <c r="F106" s="17"/>
      <c r="G106" s="20"/>
      <c r="H106" s="15"/>
      <c r="I106" s="14"/>
      <c r="J106" s="16"/>
      <c r="K106" s="22"/>
      <c r="L106" s="22"/>
      <c r="M106" s="16"/>
      <c r="N106" s="16"/>
      <c r="O106" s="16"/>
    </row>
    <row r="107" spans="1:15" ht="21" customHeight="1">
      <c r="A107" s="18"/>
      <c r="B107" s="18"/>
      <c r="C107" s="18"/>
      <c r="D107" s="18"/>
      <c r="E107" s="19"/>
      <c r="F107" s="17"/>
      <c r="G107" s="20"/>
      <c r="H107" s="15"/>
      <c r="I107" s="14"/>
      <c r="J107" s="16"/>
      <c r="K107" s="22"/>
      <c r="L107" s="22"/>
      <c r="M107" s="23"/>
      <c r="N107" s="16"/>
      <c r="O107" s="16"/>
    </row>
    <row r="108" spans="1:15" ht="21" customHeight="1">
      <c r="A108" s="18"/>
      <c r="B108" s="18"/>
      <c r="C108" s="18"/>
      <c r="D108" s="18"/>
      <c r="E108" s="19"/>
      <c r="F108" s="17"/>
      <c r="G108" s="20"/>
      <c r="H108" s="15"/>
      <c r="I108" s="14"/>
      <c r="J108" s="16"/>
      <c r="K108" s="22"/>
      <c r="L108" s="22"/>
      <c r="M108" s="23"/>
      <c r="N108" s="16"/>
      <c r="O108" s="16"/>
    </row>
    <row r="109" spans="1:15" ht="21" customHeight="1">
      <c r="A109" s="18"/>
      <c r="B109" s="18"/>
      <c r="C109" s="18"/>
      <c r="D109" s="18"/>
      <c r="E109" s="19"/>
      <c r="F109" s="17"/>
      <c r="G109" s="20"/>
      <c r="H109" s="15"/>
      <c r="I109" s="14"/>
      <c r="J109" s="16"/>
      <c r="K109" s="22"/>
      <c r="L109" s="22"/>
      <c r="M109" s="23"/>
      <c r="N109" s="16"/>
      <c r="O109" s="16"/>
    </row>
    <row r="110" spans="9:16" ht="17.25">
      <c r="I110" s="12"/>
      <c r="J110" s="12"/>
      <c r="K110" s="12"/>
      <c r="L110" s="12"/>
      <c r="P110" s="11"/>
    </row>
    <row r="111" spans="9:16" ht="17.25">
      <c r="I111" s="12"/>
      <c r="J111" s="12"/>
      <c r="K111" s="12"/>
      <c r="L111" s="12"/>
      <c r="P111" s="11"/>
    </row>
    <row r="112" spans="9:16" ht="17.25">
      <c r="I112" s="12"/>
      <c r="J112" s="12"/>
      <c r="K112" s="12"/>
      <c r="L112" s="12"/>
      <c r="P112" s="11"/>
    </row>
    <row r="113" spans="9:16" ht="17.25">
      <c r="I113" s="12"/>
      <c r="J113" s="12"/>
      <c r="K113" s="12"/>
      <c r="L113" s="12"/>
      <c r="P113" s="11"/>
    </row>
    <row r="114" spans="9:16" ht="17.25">
      <c r="I114" s="12"/>
      <c r="J114" s="12"/>
      <c r="K114" s="12"/>
      <c r="L114" s="12"/>
      <c r="P114" s="11"/>
    </row>
    <row r="115" spans="9:16" ht="17.25">
      <c r="I115" s="12"/>
      <c r="J115" s="12"/>
      <c r="K115" s="12"/>
      <c r="L115" s="12"/>
      <c r="P115" s="11"/>
    </row>
    <row r="116" spans="9:16" ht="17.25">
      <c r="I116" s="12"/>
      <c r="J116" s="12"/>
      <c r="K116" s="12"/>
      <c r="L116" s="12"/>
      <c r="P116" s="11"/>
    </row>
    <row r="117" spans="9:16" ht="17.25">
      <c r="I117" s="12"/>
      <c r="J117" s="12"/>
      <c r="K117" s="12"/>
      <c r="L117" s="12"/>
      <c r="P117" s="11"/>
    </row>
  </sheetData>
  <sheetProtection/>
  <mergeCells count="86">
    <mergeCell ref="G90:H90"/>
    <mergeCell ref="G91:H91"/>
    <mergeCell ref="G92:H92"/>
    <mergeCell ref="D95:H95"/>
    <mergeCell ref="D102:G102"/>
    <mergeCell ref="G84:H84"/>
    <mergeCell ref="G85:H85"/>
    <mergeCell ref="G86:H86"/>
    <mergeCell ref="G87:H87"/>
    <mergeCell ref="G88:H88"/>
    <mergeCell ref="G89:H89"/>
    <mergeCell ref="G78:H78"/>
    <mergeCell ref="G79:H79"/>
    <mergeCell ref="G80:H80"/>
    <mergeCell ref="G81:H81"/>
    <mergeCell ref="G82:H82"/>
    <mergeCell ref="G83:H83"/>
    <mergeCell ref="G72:H72"/>
    <mergeCell ref="G73:H73"/>
    <mergeCell ref="G74:H74"/>
    <mergeCell ref="G75:H75"/>
    <mergeCell ref="G76:H76"/>
    <mergeCell ref="G77:H77"/>
    <mergeCell ref="G66:H66"/>
    <mergeCell ref="G67:H67"/>
    <mergeCell ref="G68:H68"/>
    <mergeCell ref="G69:H69"/>
    <mergeCell ref="G70:H70"/>
    <mergeCell ref="G71:H71"/>
    <mergeCell ref="G60:H60"/>
    <mergeCell ref="G61:H61"/>
    <mergeCell ref="G62:H62"/>
    <mergeCell ref="G63:H63"/>
    <mergeCell ref="G64:H64"/>
    <mergeCell ref="G65:H65"/>
    <mergeCell ref="G51:H51"/>
    <mergeCell ref="G52:H52"/>
    <mergeCell ref="G53:H53"/>
    <mergeCell ref="A55:H55"/>
    <mergeCell ref="A56:D56"/>
    <mergeCell ref="E56:E59"/>
    <mergeCell ref="G57:H57"/>
    <mergeCell ref="G45:H45"/>
    <mergeCell ref="G46:H46"/>
    <mergeCell ref="G47:H47"/>
    <mergeCell ref="G48:H48"/>
    <mergeCell ref="G49:H49"/>
    <mergeCell ref="G50:H50"/>
    <mergeCell ref="G39:H39"/>
    <mergeCell ref="G40:H40"/>
    <mergeCell ref="G41:H41"/>
    <mergeCell ref="G42:H42"/>
    <mergeCell ref="G43:H43"/>
    <mergeCell ref="G44:H44"/>
    <mergeCell ref="G33:H33"/>
    <mergeCell ref="G34:H34"/>
    <mergeCell ref="G35:H35"/>
    <mergeCell ref="G36:H36"/>
    <mergeCell ref="G37:H37"/>
    <mergeCell ref="G38:H38"/>
    <mergeCell ref="G21:H21"/>
    <mergeCell ref="G22:H22"/>
    <mergeCell ref="G23:H23"/>
    <mergeCell ref="G30:H30"/>
    <mergeCell ref="G31:H31"/>
    <mergeCell ref="G32:H32"/>
    <mergeCell ref="G14:H14"/>
    <mergeCell ref="G15:H15"/>
    <mergeCell ref="G16:H16"/>
    <mergeCell ref="G18:H18"/>
    <mergeCell ref="G19:H19"/>
    <mergeCell ref="G20:H20"/>
    <mergeCell ref="G8:H8"/>
    <mergeCell ref="G9:H9"/>
    <mergeCell ref="G10:H10"/>
    <mergeCell ref="G11:H11"/>
    <mergeCell ref="G12:H12"/>
    <mergeCell ref="G13:H13"/>
    <mergeCell ref="A1:H1"/>
    <mergeCell ref="A2:H2"/>
    <mergeCell ref="A3:H3"/>
    <mergeCell ref="A4:D4"/>
    <mergeCell ref="E4:E6"/>
    <mergeCell ref="G4:H4"/>
    <mergeCell ref="G5:H5"/>
    <mergeCell ref="G6:H6"/>
  </mergeCells>
  <printOptions/>
  <pageMargins left="0.31496062992125984" right="0.31496062992125984" top="0.2755905511811024" bottom="0" header="0.15748031496062992" footer="0.2362204724409449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7"/>
  <sheetViews>
    <sheetView view="pageBreakPreview" zoomScale="140" zoomScaleSheetLayoutView="140" workbookViewId="0" topLeftCell="A91">
      <selection activeCell="G92" sqref="G92:H92"/>
    </sheetView>
  </sheetViews>
  <sheetFormatPr defaultColWidth="9.140625" defaultRowHeight="21.75"/>
  <cols>
    <col min="1" max="3" width="11.28125" style="11" customWidth="1"/>
    <col min="4" max="4" width="15.421875" style="11" customWidth="1"/>
    <col min="5" max="5" width="25.8515625" style="11" customWidth="1"/>
    <col min="6" max="6" width="10.00390625" style="11" customWidth="1"/>
    <col min="7" max="7" width="4.28125" style="11" customWidth="1"/>
    <col min="8" max="8" width="11.140625" style="11" customWidth="1"/>
    <col min="9" max="9" width="14.140625" style="11" customWidth="1"/>
    <col min="10" max="10" width="1.8515625" style="11" customWidth="1"/>
    <col min="11" max="11" width="13.57421875" style="11" customWidth="1"/>
    <col min="12" max="12" width="13.7109375" style="11" customWidth="1"/>
    <col min="13" max="15" width="14.28125" style="11" customWidth="1"/>
    <col min="16" max="16" width="14.28125" style="12" customWidth="1"/>
    <col min="17" max="16384" width="9.140625" style="11" customWidth="1"/>
  </cols>
  <sheetData>
    <row r="1" spans="1:16" s="1" customFormat="1" ht="17.25" customHeight="1">
      <c r="A1" s="168" t="s">
        <v>35</v>
      </c>
      <c r="B1" s="168"/>
      <c r="C1" s="168"/>
      <c r="D1" s="168"/>
      <c r="E1" s="168"/>
      <c r="F1" s="168"/>
      <c r="G1" s="168"/>
      <c r="H1" s="168"/>
      <c r="P1" s="2"/>
    </row>
    <row r="2" spans="1:16" s="1" customFormat="1" ht="17.25" customHeight="1">
      <c r="A2" s="168" t="s">
        <v>54</v>
      </c>
      <c r="B2" s="168"/>
      <c r="C2" s="168"/>
      <c r="D2" s="168"/>
      <c r="E2" s="168"/>
      <c r="F2" s="168"/>
      <c r="G2" s="168"/>
      <c r="H2" s="168"/>
      <c r="P2" s="2"/>
    </row>
    <row r="3" spans="1:16" s="1" customFormat="1" ht="17.25" customHeight="1" thickBot="1">
      <c r="A3" s="169" t="s">
        <v>106</v>
      </c>
      <c r="B3" s="169"/>
      <c r="C3" s="169"/>
      <c r="D3" s="169"/>
      <c r="E3" s="169"/>
      <c r="F3" s="169"/>
      <c r="G3" s="169"/>
      <c r="H3" s="169"/>
      <c r="P3" s="2"/>
    </row>
    <row r="4" spans="1:16" s="1" customFormat="1" ht="15.75" customHeight="1" thickTop="1">
      <c r="A4" s="170" t="s">
        <v>46</v>
      </c>
      <c r="B4" s="171"/>
      <c r="C4" s="171"/>
      <c r="D4" s="172"/>
      <c r="E4" s="173" t="s">
        <v>18</v>
      </c>
      <c r="F4" s="128" t="s">
        <v>16</v>
      </c>
      <c r="G4" s="175"/>
      <c r="H4" s="176"/>
      <c r="P4" s="2"/>
    </row>
    <row r="5" spans="1:16" s="1" customFormat="1" ht="15.75" customHeight="1">
      <c r="A5" s="129" t="s">
        <v>32</v>
      </c>
      <c r="B5" s="116" t="s">
        <v>51</v>
      </c>
      <c r="C5" s="116" t="s">
        <v>47</v>
      </c>
      <c r="D5" s="41" t="s">
        <v>48</v>
      </c>
      <c r="E5" s="174"/>
      <c r="F5" s="42" t="s">
        <v>17</v>
      </c>
      <c r="G5" s="177" t="s">
        <v>68</v>
      </c>
      <c r="H5" s="178"/>
      <c r="P5" s="2"/>
    </row>
    <row r="6" spans="1:16" s="1" customFormat="1" ht="15.75" customHeight="1">
      <c r="A6" s="130" t="s">
        <v>53</v>
      </c>
      <c r="B6" s="42" t="s">
        <v>52</v>
      </c>
      <c r="C6" s="42" t="s">
        <v>49</v>
      </c>
      <c r="D6" s="41" t="s">
        <v>49</v>
      </c>
      <c r="E6" s="174"/>
      <c r="F6" s="130"/>
      <c r="G6" s="177" t="s">
        <v>69</v>
      </c>
      <c r="H6" s="178"/>
      <c r="P6" s="2"/>
    </row>
    <row r="7" spans="1:16" s="1" customFormat="1" ht="15.75" customHeight="1">
      <c r="A7" s="131"/>
      <c r="B7" s="122" t="s">
        <v>49</v>
      </c>
      <c r="C7" s="122"/>
      <c r="D7" s="123"/>
      <c r="E7" s="132"/>
      <c r="F7" s="131"/>
      <c r="G7" s="123"/>
      <c r="H7" s="133"/>
      <c r="P7" s="2"/>
    </row>
    <row r="8" spans="1:16" s="1" customFormat="1" ht="15.75" customHeight="1" thickBot="1">
      <c r="A8" s="30"/>
      <c r="B8" s="31"/>
      <c r="C8" s="32"/>
      <c r="D8" s="33">
        <v>49570735.76999998</v>
      </c>
      <c r="E8" s="28"/>
      <c r="F8" s="28"/>
      <c r="G8" s="158">
        <v>53995696.05999999</v>
      </c>
      <c r="H8" s="159"/>
      <c r="P8" s="2"/>
    </row>
    <row r="9" spans="1:16" s="1" customFormat="1" ht="15.75" customHeight="1" thickTop="1">
      <c r="A9" s="30"/>
      <c r="B9" s="26"/>
      <c r="C9" s="24"/>
      <c r="D9" s="34"/>
      <c r="E9" s="35" t="s">
        <v>55</v>
      </c>
      <c r="F9" s="28"/>
      <c r="G9" s="137"/>
      <c r="H9" s="138"/>
      <c r="I9" s="1" t="s">
        <v>31</v>
      </c>
      <c r="K9" s="1" t="s">
        <v>26</v>
      </c>
      <c r="P9" s="2"/>
    </row>
    <row r="10" spans="1:16" s="1" customFormat="1" ht="15.75" customHeight="1">
      <c r="A10" s="99">
        <v>806000</v>
      </c>
      <c r="B10" s="72">
        <v>0</v>
      </c>
      <c r="C10" s="37">
        <f aca="true" t="shared" si="0" ref="C10:C15">SUM(A10:B10)</f>
        <v>806000</v>
      </c>
      <c r="D10" s="38">
        <f aca="true" t="shared" si="1" ref="D10:D15">K10</f>
        <v>80484.62</v>
      </c>
      <c r="E10" s="24" t="s">
        <v>4</v>
      </c>
      <c r="F10" s="39" t="s">
        <v>79</v>
      </c>
      <c r="G10" s="139">
        <v>73252</v>
      </c>
      <c r="H10" s="140"/>
      <c r="I10" s="3">
        <v>7232.619999999999</v>
      </c>
      <c r="J10" s="3"/>
      <c r="K10" s="2">
        <f aca="true" t="shared" si="2" ref="K10:K15">SUM(G10+I10)</f>
        <v>80484.62</v>
      </c>
      <c r="L10" s="2"/>
      <c r="P10" s="2"/>
    </row>
    <row r="11" spans="1:16" s="1" customFormat="1" ht="15.75" customHeight="1">
      <c r="A11" s="99">
        <v>414000</v>
      </c>
      <c r="B11" s="72">
        <v>0</v>
      </c>
      <c r="C11" s="37">
        <f t="shared" si="0"/>
        <v>414000</v>
      </c>
      <c r="D11" s="38">
        <f t="shared" si="1"/>
        <v>107665.09999999999</v>
      </c>
      <c r="E11" s="24" t="s">
        <v>5</v>
      </c>
      <c r="F11" s="39" t="s">
        <v>80</v>
      </c>
      <c r="G11" s="141">
        <v>33571.7</v>
      </c>
      <c r="H11" s="142"/>
      <c r="I11" s="3">
        <v>74093.4</v>
      </c>
      <c r="J11" s="3"/>
      <c r="K11" s="2">
        <f t="shared" si="2"/>
        <v>107665.09999999999</v>
      </c>
      <c r="L11" s="2"/>
      <c r="P11" s="2"/>
    </row>
    <row r="12" spans="1:16" s="1" customFormat="1" ht="15.75" customHeight="1">
      <c r="A12" s="99">
        <v>1900000</v>
      </c>
      <c r="B12" s="72">
        <v>0</v>
      </c>
      <c r="C12" s="37">
        <f t="shared" si="0"/>
        <v>1900000</v>
      </c>
      <c r="D12" s="38">
        <f t="shared" si="1"/>
        <v>527066.5</v>
      </c>
      <c r="E12" s="24" t="s">
        <v>6</v>
      </c>
      <c r="F12" s="39" t="s">
        <v>81</v>
      </c>
      <c r="G12" s="141">
        <v>226074.5</v>
      </c>
      <c r="H12" s="142"/>
      <c r="I12" s="3">
        <v>300992</v>
      </c>
      <c r="J12" s="3"/>
      <c r="K12" s="2">
        <f t="shared" si="2"/>
        <v>527066.5</v>
      </c>
      <c r="L12" s="2"/>
      <c r="P12" s="2"/>
    </row>
    <row r="13" spans="1:16" s="1" customFormat="1" ht="15.75" customHeight="1">
      <c r="A13" s="99">
        <v>820000</v>
      </c>
      <c r="B13" s="72">
        <v>0</v>
      </c>
      <c r="C13" s="37">
        <f t="shared" si="0"/>
        <v>820000</v>
      </c>
      <c r="D13" s="38">
        <f t="shared" si="1"/>
        <v>211700</v>
      </c>
      <c r="E13" s="24" t="s">
        <v>7</v>
      </c>
      <c r="F13" s="39" t="s">
        <v>82</v>
      </c>
      <c r="G13" s="141">
        <v>129000</v>
      </c>
      <c r="H13" s="142"/>
      <c r="I13" s="3">
        <v>82700</v>
      </c>
      <c r="J13" s="3"/>
      <c r="K13" s="2">
        <f t="shared" si="2"/>
        <v>211700</v>
      </c>
      <c r="L13" s="2"/>
      <c r="P13" s="2"/>
    </row>
    <row r="14" spans="1:16" s="1" customFormat="1" ht="15.75" customHeight="1">
      <c r="A14" s="99">
        <v>32060000</v>
      </c>
      <c r="B14" s="72">
        <v>0</v>
      </c>
      <c r="C14" s="37">
        <f>SUM(A14:B14)</f>
        <v>32060000</v>
      </c>
      <c r="D14" s="38">
        <f t="shared" si="1"/>
        <v>10255278.32</v>
      </c>
      <c r="E14" s="24" t="s">
        <v>19</v>
      </c>
      <c r="F14" s="39" t="s">
        <v>83</v>
      </c>
      <c r="G14" s="141">
        <v>1036990.72</v>
      </c>
      <c r="H14" s="142"/>
      <c r="I14" s="3">
        <v>9218287.6</v>
      </c>
      <c r="J14" s="3"/>
      <c r="K14" s="2">
        <f t="shared" si="2"/>
        <v>10255278.32</v>
      </c>
      <c r="L14" s="2"/>
      <c r="P14" s="2"/>
    </row>
    <row r="15" spans="1:16" s="1" customFormat="1" ht="15.75" customHeight="1">
      <c r="A15" s="99">
        <v>46000000</v>
      </c>
      <c r="B15" s="72">
        <v>0</v>
      </c>
      <c r="C15" s="37">
        <f t="shared" si="0"/>
        <v>46000000</v>
      </c>
      <c r="D15" s="38">
        <f t="shared" si="1"/>
        <v>24073860</v>
      </c>
      <c r="E15" s="24" t="s">
        <v>40</v>
      </c>
      <c r="F15" s="39" t="s">
        <v>84</v>
      </c>
      <c r="G15" s="141">
        <v>11334972</v>
      </c>
      <c r="H15" s="142"/>
      <c r="I15" s="3">
        <v>12738888</v>
      </c>
      <c r="J15" s="3"/>
      <c r="K15" s="2">
        <f t="shared" si="2"/>
        <v>24073860</v>
      </c>
      <c r="L15" s="2"/>
      <c r="P15" s="2"/>
    </row>
    <row r="16" spans="1:16" s="1" customFormat="1" ht="15.75" customHeight="1">
      <c r="A16" s="100">
        <f>SUM(A10:A15)</f>
        <v>82000000</v>
      </c>
      <c r="B16" s="88"/>
      <c r="C16" s="55">
        <f>SUM(C10:C15)</f>
        <v>82000000</v>
      </c>
      <c r="D16" s="83">
        <f>SUM(D10:D15)</f>
        <v>35256054.54</v>
      </c>
      <c r="E16" s="85" t="s">
        <v>47</v>
      </c>
      <c r="F16" s="86"/>
      <c r="G16" s="143">
        <f>SUM(G10:G15)</f>
        <v>12833860.92</v>
      </c>
      <c r="H16" s="144"/>
      <c r="I16" s="4">
        <f>SUM(I10:I15)</f>
        <v>22422193.619999997</v>
      </c>
      <c r="K16" s="5">
        <f>SUM(K10:K15)</f>
        <v>35256054.54</v>
      </c>
      <c r="L16" s="5"/>
      <c r="P16" s="2"/>
    </row>
    <row r="17" spans="1:16" s="1" customFormat="1" ht="15.75" customHeight="1">
      <c r="A17" s="40"/>
      <c r="B17" s="41"/>
      <c r="C17" s="42"/>
      <c r="D17" s="87"/>
      <c r="E17" s="101" t="s">
        <v>100</v>
      </c>
      <c r="F17" s="39">
        <v>44100000</v>
      </c>
      <c r="G17" s="43"/>
      <c r="H17" s="44"/>
      <c r="I17" s="4"/>
      <c r="K17" s="5"/>
      <c r="L17" s="5"/>
      <c r="P17" s="2"/>
    </row>
    <row r="18" spans="1:16" s="1" customFormat="1" ht="15.75" customHeight="1">
      <c r="A18" s="30"/>
      <c r="B18" s="72">
        <v>12000</v>
      </c>
      <c r="C18" s="60">
        <f>SUM(B18)</f>
        <v>12000</v>
      </c>
      <c r="D18" s="45">
        <f>K18</f>
        <v>12000</v>
      </c>
      <c r="E18" s="24" t="s">
        <v>67</v>
      </c>
      <c r="F18" s="39"/>
      <c r="G18" s="145">
        <v>0</v>
      </c>
      <c r="H18" s="146"/>
      <c r="I18" s="3">
        <v>12000</v>
      </c>
      <c r="J18" s="3"/>
      <c r="K18" s="2">
        <f aca="true" t="shared" si="3" ref="K18:K50">SUM(G18+I18)</f>
        <v>12000</v>
      </c>
      <c r="L18" s="2"/>
      <c r="P18" s="2"/>
    </row>
    <row r="19" spans="1:16" s="1" customFormat="1" ht="15.75" customHeight="1">
      <c r="A19" s="30"/>
      <c r="B19" s="72">
        <v>24000</v>
      </c>
      <c r="C19" s="60">
        <f>SUM(B19)</f>
        <v>24000</v>
      </c>
      <c r="D19" s="45">
        <f>K19</f>
        <v>24000</v>
      </c>
      <c r="E19" s="24" t="s">
        <v>70</v>
      </c>
      <c r="F19" s="39"/>
      <c r="G19" s="145"/>
      <c r="H19" s="146"/>
      <c r="I19" s="3">
        <v>24000</v>
      </c>
      <c r="J19" s="3">
        <v>0</v>
      </c>
      <c r="K19" s="2">
        <f t="shared" si="3"/>
        <v>24000</v>
      </c>
      <c r="L19" s="2"/>
      <c r="P19" s="2"/>
    </row>
    <row r="20" spans="1:16" s="1" customFormat="1" ht="15.75" customHeight="1">
      <c r="A20" s="30"/>
      <c r="B20" s="72">
        <f>85932+85932</f>
        <v>171864</v>
      </c>
      <c r="C20" s="60">
        <f>SUM(B20)</f>
        <v>171864</v>
      </c>
      <c r="D20" s="45">
        <f>K20</f>
        <v>171864</v>
      </c>
      <c r="E20" s="24" t="s">
        <v>78</v>
      </c>
      <c r="F20" s="39"/>
      <c r="G20" s="141">
        <v>85932</v>
      </c>
      <c r="H20" s="142"/>
      <c r="I20" s="3">
        <v>85932</v>
      </c>
      <c r="J20" s="3"/>
      <c r="K20" s="2">
        <f t="shared" si="3"/>
        <v>171864</v>
      </c>
      <c r="L20" s="2"/>
      <c r="P20" s="2"/>
    </row>
    <row r="21" spans="1:16" s="1" customFormat="1" ht="15.75" customHeight="1">
      <c r="A21" s="30"/>
      <c r="B21" s="72">
        <v>27000</v>
      </c>
      <c r="C21" s="60">
        <f>SUM(B21)</f>
        <v>27000</v>
      </c>
      <c r="D21" s="45">
        <f>K21</f>
        <v>27000</v>
      </c>
      <c r="E21" s="24" t="s">
        <v>107</v>
      </c>
      <c r="F21" s="39"/>
      <c r="G21" s="141">
        <v>27000</v>
      </c>
      <c r="H21" s="142"/>
      <c r="I21" s="3">
        <v>0</v>
      </c>
      <c r="J21" s="3"/>
      <c r="K21" s="2">
        <f t="shared" si="3"/>
        <v>27000</v>
      </c>
      <c r="L21" s="2"/>
      <c r="P21" s="2"/>
    </row>
    <row r="22" spans="1:16" s="1" customFormat="1" ht="15.75" customHeight="1">
      <c r="A22" s="30"/>
      <c r="B22" s="72"/>
      <c r="C22" s="60"/>
      <c r="D22" s="45"/>
      <c r="E22" s="24"/>
      <c r="F22" s="39"/>
      <c r="G22" s="141"/>
      <c r="H22" s="142"/>
      <c r="I22" s="3">
        <v>0</v>
      </c>
      <c r="J22" s="3"/>
      <c r="K22" s="2">
        <f t="shared" si="3"/>
        <v>0</v>
      </c>
      <c r="L22" s="2"/>
      <c r="P22" s="2"/>
    </row>
    <row r="23" spans="1:16" s="1" customFormat="1" ht="15.75" customHeight="1">
      <c r="A23" s="30"/>
      <c r="B23" s="72"/>
      <c r="C23" s="60"/>
      <c r="D23" s="45"/>
      <c r="E23" s="24"/>
      <c r="F23" s="39"/>
      <c r="G23" s="141"/>
      <c r="H23" s="142"/>
      <c r="I23" s="3">
        <v>0</v>
      </c>
      <c r="J23" s="3"/>
      <c r="K23" s="2">
        <f t="shared" si="3"/>
        <v>0</v>
      </c>
      <c r="L23" s="2"/>
      <c r="P23" s="2"/>
    </row>
    <row r="24" spans="1:16" s="1" customFormat="1" ht="15.75" customHeight="1">
      <c r="A24" s="30"/>
      <c r="B24" s="72"/>
      <c r="C24" s="60"/>
      <c r="D24" s="45"/>
      <c r="E24" s="24"/>
      <c r="F24" s="39"/>
      <c r="G24" s="38"/>
      <c r="H24" s="96"/>
      <c r="I24" s="3">
        <v>0</v>
      </c>
      <c r="J24" s="3"/>
      <c r="K24" s="2"/>
      <c r="L24" s="2"/>
      <c r="P24" s="2"/>
    </row>
    <row r="25" spans="1:16" s="1" customFormat="1" ht="15.75" customHeight="1">
      <c r="A25" s="30"/>
      <c r="B25" s="72"/>
      <c r="C25" s="60"/>
      <c r="D25" s="45"/>
      <c r="E25" s="24"/>
      <c r="F25" s="39"/>
      <c r="G25" s="38"/>
      <c r="H25" s="96"/>
      <c r="I25" s="3"/>
      <c r="J25" s="3"/>
      <c r="K25" s="2"/>
      <c r="L25" s="2"/>
      <c r="P25" s="2"/>
    </row>
    <row r="26" spans="1:16" s="1" customFormat="1" ht="15.75" customHeight="1">
      <c r="A26" s="30"/>
      <c r="B26" s="72"/>
      <c r="C26" s="60"/>
      <c r="D26" s="45"/>
      <c r="E26" s="24"/>
      <c r="F26" s="39"/>
      <c r="G26" s="38"/>
      <c r="H26" s="96"/>
      <c r="I26" s="3"/>
      <c r="J26" s="3"/>
      <c r="K26" s="2"/>
      <c r="L26" s="2"/>
      <c r="P26" s="2"/>
    </row>
    <row r="27" spans="1:16" s="1" customFormat="1" ht="15.75" customHeight="1">
      <c r="A27" s="30"/>
      <c r="B27" s="72"/>
      <c r="C27" s="60"/>
      <c r="D27" s="45"/>
      <c r="E27" s="24"/>
      <c r="F27" s="39"/>
      <c r="G27" s="38"/>
      <c r="H27" s="96"/>
      <c r="I27" s="3"/>
      <c r="J27" s="3"/>
      <c r="K27" s="2"/>
      <c r="L27" s="2"/>
      <c r="P27" s="2"/>
    </row>
    <row r="28" spans="1:16" s="1" customFormat="1" ht="15.75" customHeight="1">
      <c r="A28" s="30"/>
      <c r="B28" s="72"/>
      <c r="C28" s="60"/>
      <c r="D28" s="45"/>
      <c r="E28" s="24"/>
      <c r="F28" s="39"/>
      <c r="G28" s="38"/>
      <c r="H28" s="96"/>
      <c r="I28" s="3"/>
      <c r="J28" s="3"/>
      <c r="K28" s="2"/>
      <c r="L28" s="2"/>
      <c r="P28" s="2"/>
    </row>
    <row r="29" spans="1:16" s="1" customFormat="1" ht="15.75" customHeight="1">
      <c r="A29" s="30"/>
      <c r="B29" s="72"/>
      <c r="C29" s="60"/>
      <c r="D29" s="45"/>
      <c r="E29" s="24"/>
      <c r="F29" s="39"/>
      <c r="G29" s="38"/>
      <c r="H29" s="96"/>
      <c r="I29" s="3"/>
      <c r="J29" s="3"/>
      <c r="K29" s="2"/>
      <c r="L29" s="2"/>
      <c r="P29" s="2"/>
    </row>
    <row r="30" spans="1:16" s="1" customFormat="1" ht="15.75" customHeight="1">
      <c r="A30" s="30"/>
      <c r="B30" s="72"/>
      <c r="C30" s="60"/>
      <c r="D30" s="45"/>
      <c r="E30" s="24"/>
      <c r="F30" s="39"/>
      <c r="G30" s="141"/>
      <c r="H30" s="142"/>
      <c r="I30" s="3"/>
      <c r="J30" s="3"/>
      <c r="K30" s="2">
        <f t="shared" si="3"/>
        <v>0</v>
      </c>
      <c r="L30" s="2"/>
      <c r="P30" s="2"/>
    </row>
    <row r="31" spans="1:16" s="1" customFormat="1" ht="15.75" customHeight="1">
      <c r="A31" s="30"/>
      <c r="B31" s="72"/>
      <c r="C31" s="60"/>
      <c r="D31" s="45"/>
      <c r="E31" s="24"/>
      <c r="F31" s="39"/>
      <c r="G31" s="141"/>
      <c r="H31" s="142"/>
      <c r="I31" s="3"/>
      <c r="J31" s="3"/>
      <c r="K31" s="2">
        <f t="shared" si="3"/>
        <v>0</v>
      </c>
      <c r="L31" s="2"/>
      <c r="P31" s="2"/>
    </row>
    <row r="32" spans="1:16" s="1" customFormat="1" ht="15.75" customHeight="1">
      <c r="A32" s="30"/>
      <c r="B32" s="72"/>
      <c r="C32" s="60"/>
      <c r="D32" s="45"/>
      <c r="E32" s="24"/>
      <c r="F32" s="39"/>
      <c r="G32" s="141"/>
      <c r="H32" s="142"/>
      <c r="I32" s="3"/>
      <c r="J32" s="3"/>
      <c r="K32" s="2">
        <f t="shared" si="3"/>
        <v>0</v>
      </c>
      <c r="L32" s="2"/>
      <c r="P32" s="2"/>
    </row>
    <row r="33" spans="1:16" s="1" customFormat="1" ht="15.75" customHeight="1">
      <c r="A33" s="30"/>
      <c r="B33" s="72"/>
      <c r="C33" s="60"/>
      <c r="D33" s="45"/>
      <c r="E33" s="24"/>
      <c r="F33" s="39"/>
      <c r="G33" s="141"/>
      <c r="H33" s="142"/>
      <c r="I33" s="3"/>
      <c r="J33" s="3"/>
      <c r="K33" s="2">
        <f t="shared" si="3"/>
        <v>0</v>
      </c>
      <c r="L33" s="2"/>
      <c r="P33" s="2"/>
    </row>
    <row r="34" spans="1:16" s="1" customFormat="1" ht="15.75" customHeight="1">
      <c r="A34" s="30"/>
      <c r="B34" s="72"/>
      <c r="C34" s="60"/>
      <c r="D34" s="45"/>
      <c r="E34" s="24"/>
      <c r="F34" s="39"/>
      <c r="G34" s="141"/>
      <c r="H34" s="142"/>
      <c r="I34" s="3"/>
      <c r="J34" s="3"/>
      <c r="K34" s="2">
        <f t="shared" si="3"/>
        <v>0</v>
      </c>
      <c r="L34" s="2"/>
      <c r="P34" s="2"/>
    </row>
    <row r="35" spans="1:16" s="1" customFormat="1" ht="15.75" customHeight="1">
      <c r="A35" s="30"/>
      <c r="B35" s="72"/>
      <c r="C35" s="60"/>
      <c r="D35" s="45"/>
      <c r="E35" s="24"/>
      <c r="F35" s="39"/>
      <c r="G35" s="147"/>
      <c r="H35" s="148"/>
      <c r="I35" s="3"/>
      <c r="J35" s="3"/>
      <c r="K35" s="2">
        <f t="shared" si="3"/>
        <v>0</v>
      </c>
      <c r="L35" s="2"/>
      <c r="P35" s="2"/>
    </row>
    <row r="36" spans="1:16" s="1" customFormat="1" ht="15.75" customHeight="1">
      <c r="A36" s="84"/>
      <c r="B36" s="90">
        <f>SUM(B18:B35)</f>
        <v>234864</v>
      </c>
      <c r="C36" s="55">
        <f>SUM(C18:C35)</f>
        <v>234864</v>
      </c>
      <c r="D36" s="55">
        <f>SUM(D18:D35)</f>
        <v>234864</v>
      </c>
      <c r="E36" s="89"/>
      <c r="F36" s="86"/>
      <c r="G36" s="149">
        <f>SUM(G18:G35)</f>
        <v>112932</v>
      </c>
      <c r="H36" s="150"/>
      <c r="I36" s="3"/>
      <c r="J36" s="3"/>
      <c r="K36" s="2">
        <f t="shared" si="3"/>
        <v>112932</v>
      </c>
      <c r="L36" s="2"/>
      <c r="P36" s="2"/>
    </row>
    <row r="37" spans="1:16" s="93" customFormat="1" ht="15.75" customHeight="1" thickBot="1">
      <c r="A37" s="100">
        <f>A16</f>
        <v>82000000</v>
      </c>
      <c r="B37" s="90"/>
      <c r="C37" s="55"/>
      <c r="D37" s="47">
        <f>D16+D36</f>
        <v>35490918.54</v>
      </c>
      <c r="E37" s="85" t="s">
        <v>47</v>
      </c>
      <c r="F37" s="91"/>
      <c r="G37" s="143">
        <f>G16+G36</f>
        <v>12946792.92</v>
      </c>
      <c r="H37" s="144"/>
      <c r="I37" s="5"/>
      <c r="J37" s="5"/>
      <c r="K37" s="92">
        <f t="shared" si="3"/>
        <v>12946792.92</v>
      </c>
      <c r="L37" s="92"/>
      <c r="P37" s="92"/>
    </row>
    <row r="38" spans="1:16" s="1" customFormat="1" ht="15.75" customHeight="1" thickTop="1">
      <c r="A38" s="30"/>
      <c r="B38" s="25"/>
      <c r="C38" s="28"/>
      <c r="D38" s="48">
        <f>K38</f>
        <v>1438478.69</v>
      </c>
      <c r="E38" s="27" t="s">
        <v>34</v>
      </c>
      <c r="F38" s="39">
        <v>21040000</v>
      </c>
      <c r="G38" s="141">
        <v>385773.11</v>
      </c>
      <c r="H38" s="142"/>
      <c r="I38" s="3">
        <v>1052705.58</v>
      </c>
      <c r="J38" s="3"/>
      <c r="K38" s="2">
        <f t="shared" si="3"/>
        <v>1438478.69</v>
      </c>
      <c r="L38" s="2"/>
      <c r="P38" s="2"/>
    </row>
    <row r="39" spans="1:16" s="1" customFormat="1" ht="15.75" customHeight="1">
      <c r="A39" s="30"/>
      <c r="B39" s="25"/>
      <c r="C39" s="28"/>
      <c r="D39" s="45">
        <f aca="true" t="shared" si="4" ref="D39:D51">K39</f>
        <v>158210</v>
      </c>
      <c r="E39" s="27" t="s">
        <v>65</v>
      </c>
      <c r="F39" s="39">
        <v>11041000</v>
      </c>
      <c r="G39" s="141">
        <v>50000</v>
      </c>
      <c r="H39" s="142"/>
      <c r="I39" s="3">
        <v>108210</v>
      </c>
      <c r="J39" s="3"/>
      <c r="K39" s="2">
        <f t="shared" si="3"/>
        <v>158210</v>
      </c>
      <c r="L39" s="2"/>
      <c r="P39" s="2"/>
    </row>
    <row r="40" spans="1:16" s="1" customFormat="1" ht="15.75" customHeight="1">
      <c r="A40" s="30"/>
      <c r="B40" s="25"/>
      <c r="C40" s="28"/>
      <c r="D40" s="45">
        <f t="shared" si="4"/>
        <v>0</v>
      </c>
      <c r="E40" s="27" t="s">
        <v>30</v>
      </c>
      <c r="F40" s="39">
        <v>11047000</v>
      </c>
      <c r="G40" s="141">
        <v>0</v>
      </c>
      <c r="H40" s="142"/>
      <c r="I40" s="3">
        <v>0</v>
      </c>
      <c r="J40" s="3"/>
      <c r="K40" s="2">
        <f t="shared" si="3"/>
        <v>0</v>
      </c>
      <c r="L40" s="2"/>
      <c r="P40" s="2"/>
    </row>
    <row r="41" spans="1:16" s="1" customFormat="1" ht="15.75" customHeight="1">
      <c r="A41" s="30"/>
      <c r="B41" s="25"/>
      <c r="C41" s="28"/>
      <c r="D41" s="45">
        <f t="shared" si="4"/>
        <v>57288</v>
      </c>
      <c r="E41" s="27" t="s">
        <v>62</v>
      </c>
      <c r="F41" s="39">
        <v>19040000</v>
      </c>
      <c r="G41" s="141">
        <v>28644</v>
      </c>
      <c r="H41" s="142"/>
      <c r="I41" s="3">
        <v>28644</v>
      </c>
      <c r="J41" s="3"/>
      <c r="K41" s="2">
        <f t="shared" si="3"/>
        <v>57288</v>
      </c>
      <c r="L41" s="2"/>
      <c r="P41" s="2"/>
    </row>
    <row r="42" spans="1:16" s="1" customFormat="1" ht="15.75" customHeight="1">
      <c r="A42" s="30"/>
      <c r="B42" s="25"/>
      <c r="C42" s="28"/>
      <c r="D42" s="45">
        <f t="shared" si="4"/>
        <v>2053.23</v>
      </c>
      <c r="E42" s="27" t="s">
        <v>36</v>
      </c>
      <c r="F42" s="39">
        <v>11043002</v>
      </c>
      <c r="G42" s="141">
        <v>315.95</v>
      </c>
      <c r="H42" s="142"/>
      <c r="I42" s="3">
        <v>1737.28</v>
      </c>
      <c r="J42" s="3"/>
      <c r="K42" s="2">
        <f t="shared" si="3"/>
        <v>2053.23</v>
      </c>
      <c r="L42" s="2"/>
      <c r="P42" s="2"/>
    </row>
    <row r="43" spans="1:16" s="1" customFormat="1" ht="15.75" customHeight="1">
      <c r="A43" s="30"/>
      <c r="B43" s="25"/>
      <c r="C43" s="28"/>
      <c r="D43" s="45">
        <f t="shared" si="4"/>
        <v>34200</v>
      </c>
      <c r="E43" s="27" t="s">
        <v>95</v>
      </c>
      <c r="F43" s="39">
        <v>11069999</v>
      </c>
      <c r="G43" s="141"/>
      <c r="H43" s="142"/>
      <c r="I43" s="3">
        <v>34200</v>
      </c>
      <c r="J43" s="3"/>
      <c r="K43" s="2">
        <f t="shared" si="3"/>
        <v>34200</v>
      </c>
      <c r="L43" s="2"/>
      <c r="P43" s="2"/>
    </row>
    <row r="44" spans="1:16" s="1" customFormat="1" ht="15.75" customHeight="1">
      <c r="A44" s="30"/>
      <c r="B44" s="25"/>
      <c r="C44" s="28"/>
      <c r="D44" s="45">
        <f t="shared" si="4"/>
        <v>28644</v>
      </c>
      <c r="E44" s="27" t="s">
        <v>63</v>
      </c>
      <c r="F44" s="39">
        <v>29010000</v>
      </c>
      <c r="G44" s="141">
        <v>0</v>
      </c>
      <c r="H44" s="142"/>
      <c r="I44" s="3">
        <v>28644</v>
      </c>
      <c r="J44" s="3"/>
      <c r="K44" s="2">
        <f t="shared" si="3"/>
        <v>28644</v>
      </c>
      <c r="L44" s="2"/>
      <c r="P44" s="2"/>
    </row>
    <row r="45" spans="1:16" s="1" customFormat="1" ht="15.75" customHeight="1">
      <c r="A45" s="30"/>
      <c r="B45" s="25"/>
      <c r="C45" s="28"/>
      <c r="D45" s="45">
        <f t="shared" si="4"/>
        <v>170000</v>
      </c>
      <c r="E45" s="27" t="s">
        <v>45</v>
      </c>
      <c r="F45" s="39">
        <v>11045000</v>
      </c>
      <c r="G45" s="141"/>
      <c r="H45" s="142"/>
      <c r="I45" s="3">
        <v>170000</v>
      </c>
      <c r="J45" s="3"/>
      <c r="K45" s="2">
        <f t="shared" si="3"/>
        <v>170000</v>
      </c>
      <c r="L45" s="2"/>
      <c r="P45" s="2"/>
    </row>
    <row r="46" spans="1:16" s="1" customFormat="1" ht="15.75" customHeight="1">
      <c r="A46" s="30"/>
      <c r="B46" s="25"/>
      <c r="C46" s="28"/>
      <c r="D46" s="45">
        <f t="shared" si="4"/>
        <v>1051825</v>
      </c>
      <c r="E46" s="27" t="s">
        <v>61</v>
      </c>
      <c r="F46" s="39">
        <v>11042000</v>
      </c>
      <c r="G46" s="141"/>
      <c r="H46" s="142"/>
      <c r="I46" s="3">
        <v>1051825</v>
      </c>
      <c r="J46" s="3"/>
      <c r="K46" s="2">
        <f t="shared" si="3"/>
        <v>1051825</v>
      </c>
      <c r="L46" s="2"/>
      <c r="P46" s="2"/>
    </row>
    <row r="47" spans="1:16" s="1" customFormat="1" ht="15.75" customHeight="1">
      <c r="A47" s="30"/>
      <c r="B47" s="25"/>
      <c r="C47" s="28"/>
      <c r="D47" s="45">
        <f t="shared" si="4"/>
        <v>0</v>
      </c>
      <c r="E47" s="27" t="s">
        <v>27</v>
      </c>
      <c r="F47" s="39">
        <v>21010000</v>
      </c>
      <c r="G47" s="141">
        <v>0</v>
      </c>
      <c r="H47" s="142"/>
      <c r="I47" s="3">
        <v>0</v>
      </c>
      <c r="J47" s="3"/>
      <c r="K47" s="2">
        <f t="shared" si="3"/>
        <v>0</v>
      </c>
      <c r="L47" s="2"/>
      <c r="P47" s="2"/>
    </row>
    <row r="48" spans="1:16" s="1" customFormat="1" ht="15.75" customHeight="1">
      <c r="A48" s="30"/>
      <c r="B48" s="25"/>
      <c r="C48" s="28"/>
      <c r="D48" s="45">
        <f t="shared" si="4"/>
        <v>0</v>
      </c>
      <c r="E48" s="27" t="s">
        <v>38</v>
      </c>
      <c r="F48" s="39">
        <v>21030000</v>
      </c>
      <c r="G48" s="141">
        <v>0</v>
      </c>
      <c r="H48" s="142"/>
      <c r="I48" s="3">
        <v>0</v>
      </c>
      <c r="J48" s="3"/>
      <c r="K48" s="2">
        <f t="shared" si="3"/>
        <v>0</v>
      </c>
      <c r="L48" s="2"/>
      <c r="P48" s="2"/>
    </row>
    <row r="49" spans="1:16" s="1" customFormat="1" ht="15.75" customHeight="1">
      <c r="A49" s="30"/>
      <c r="B49" s="25"/>
      <c r="C49" s="28"/>
      <c r="D49" s="45">
        <f t="shared" si="4"/>
        <v>29563</v>
      </c>
      <c r="E49" s="27" t="s">
        <v>66</v>
      </c>
      <c r="F49" s="39">
        <v>21040016</v>
      </c>
      <c r="G49" s="141"/>
      <c r="H49" s="142"/>
      <c r="I49" s="3">
        <v>29563</v>
      </c>
      <c r="J49" s="3"/>
      <c r="K49" s="2">
        <f t="shared" si="3"/>
        <v>29563</v>
      </c>
      <c r="L49" s="2"/>
      <c r="P49" s="2"/>
    </row>
    <row r="50" spans="1:16" s="1" customFormat="1" ht="15.75" customHeight="1">
      <c r="A50" s="30"/>
      <c r="B50" s="25"/>
      <c r="C50" s="28"/>
      <c r="D50" s="45">
        <f t="shared" si="4"/>
        <v>0</v>
      </c>
      <c r="E50" s="26" t="s">
        <v>15</v>
      </c>
      <c r="F50" s="39">
        <v>31000000</v>
      </c>
      <c r="G50" s="141">
        <v>0</v>
      </c>
      <c r="H50" s="142"/>
      <c r="I50" s="3">
        <v>0</v>
      </c>
      <c r="J50" s="3"/>
      <c r="K50" s="2">
        <f t="shared" si="3"/>
        <v>0</v>
      </c>
      <c r="L50" s="2"/>
      <c r="P50" s="2"/>
    </row>
    <row r="51" spans="1:16" s="1" customFormat="1" ht="15.75" customHeight="1">
      <c r="A51" s="30"/>
      <c r="B51" s="26"/>
      <c r="C51" s="24"/>
      <c r="D51" s="45">
        <f t="shared" si="4"/>
        <v>0</v>
      </c>
      <c r="E51" s="27" t="s">
        <v>42</v>
      </c>
      <c r="F51" s="39">
        <v>32000000</v>
      </c>
      <c r="G51" s="151">
        <v>0</v>
      </c>
      <c r="H51" s="152"/>
      <c r="I51" s="3">
        <v>0</v>
      </c>
      <c r="J51" s="3"/>
      <c r="K51" s="2">
        <f>G51+I51</f>
        <v>0</v>
      </c>
      <c r="L51" s="2"/>
      <c r="P51" s="2"/>
    </row>
    <row r="52" spans="1:16" s="1" customFormat="1" ht="15.75" customHeight="1">
      <c r="A52" s="30"/>
      <c r="B52" s="26"/>
      <c r="C52" s="24"/>
      <c r="D52" s="49">
        <f>SUM(D38:D51)</f>
        <v>2970261.92</v>
      </c>
      <c r="E52" s="24"/>
      <c r="F52" s="50"/>
      <c r="G52" s="153">
        <f>SUM(G38:G51)</f>
        <v>464733.06</v>
      </c>
      <c r="H52" s="154"/>
      <c r="I52" s="3">
        <f>SUM(I38:I51)</f>
        <v>2505528.8600000003</v>
      </c>
      <c r="K52" s="6">
        <f>SUM(K18:K50)</f>
        <v>16264850.84</v>
      </c>
      <c r="L52" s="6"/>
      <c r="P52" s="2"/>
    </row>
    <row r="53" spans="1:16" s="1" customFormat="1" ht="15.75" customHeight="1">
      <c r="A53" s="100">
        <f>A37</f>
        <v>82000000</v>
      </c>
      <c r="B53" s="94">
        <f>SUM(B37)</f>
        <v>0</v>
      </c>
      <c r="C53" s="94">
        <f>SUM(C37)</f>
        <v>0</v>
      </c>
      <c r="D53" s="51">
        <f>D16+D36+D52</f>
        <v>38461180.46</v>
      </c>
      <c r="E53" s="42" t="s">
        <v>25</v>
      </c>
      <c r="F53" s="50"/>
      <c r="G53" s="153">
        <f>G16+G36+G52</f>
        <v>13411525.98</v>
      </c>
      <c r="H53" s="154"/>
      <c r="P53" s="2"/>
    </row>
    <row r="54" spans="1:16" s="1" customFormat="1" ht="15.75" customHeight="1">
      <c r="A54" s="108"/>
      <c r="B54" s="109"/>
      <c r="C54" s="109"/>
      <c r="D54" s="110"/>
      <c r="E54" s="41"/>
      <c r="F54" s="50"/>
      <c r="G54" s="111"/>
      <c r="H54" s="111"/>
      <c r="P54" s="2"/>
    </row>
    <row r="55" spans="1:10" ht="18" customHeight="1">
      <c r="A55" s="155" t="s">
        <v>28</v>
      </c>
      <c r="B55" s="155"/>
      <c r="C55" s="155"/>
      <c r="D55" s="155"/>
      <c r="E55" s="155"/>
      <c r="F55" s="155"/>
      <c r="G55" s="155"/>
      <c r="H55" s="155"/>
      <c r="I55" s="13"/>
      <c r="J55" s="13"/>
    </row>
    <row r="56" spans="1:16" s="1" customFormat="1" ht="15" customHeight="1">
      <c r="A56" s="179" t="s">
        <v>0</v>
      </c>
      <c r="B56" s="180"/>
      <c r="C56" s="180"/>
      <c r="D56" s="180"/>
      <c r="E56" s="181" t="s">
        <v>1</v>
      </c>
      <c r="F56" s="112"/>
      <c r="G56" s="113" t="s">
        <v>2</v>
      </c>
      <c r="H56" s="114"/>
      <c r="P56" s="2"/>
    </row>
    <row r="57" spans="1:16" s="1" customFormat="1" ht="13.5" customHeight="1">
      <c r="A57" s="115"/>
      <c r="B57" s="116" t="s">
        <v>57</v>
      </c>
      <c r="C57" s="116" t="s">
        <v>47</v>
      </c>
      <c r="D57" s="41" t="s">
        <v>48</v>
      </c>
      <c r="E57" s="182"/>
      <c r="F57" s="127" t="s">
        <v>98</v>
      </c>
      <c r="G57" s="184" t="s">
        <v>48</v>
      </c>
      <c r="H57" s="185"/>
      <c r="P57" s="2"/>
    </row>
    <row r="58" spans="1:16" s="1" customFormat="1" ht="13.5" customHeight="1">
      <c r="A58" s="119" t="s">
        <v>43</v>
      </c>
      <c r="B58" s="120" t="s">
        <v>58</v>
      </c>
      <c r="C58" s="42" t="s">
        <v>49</v>
      </c>
      <c r="D58" s="41" t="s">
        <v>49</v>
      </c>
      <c r="E58" s="182"/>
      <c r="F58" s="127" t="s">
        <v>99</v>
      </c>
      <c r="G58" s="117"/>
      <c r="H58" s="118"/>
      <c r="P58" s="2"/>
    </row>
    <row r="59" spans="1:16" s="1" customFormat="1" ht="13.5" customHeight="1" thickBot="1">
      <c r="A59" s="121" t="s">
        <v>49</v>
      </c>
      <c r="B59" s="122" t="s">
        <v>50</v>
      </c>
      <c r="C59" s="122"/>
      <c r="D59" s="123"/>
      <c r="E59" s="183"/>
      <c r="F59" s="124"/>
      <c r="G59" s="125" t="s">
        <v>3</v>
      </c>
      <c r="H59" s="126"/>
      <c r="P59" s="2"/>
    </row>
    <row r="60" spans="1:16" s="1" customFormat="1" ht="19.5" customHeight="1" thickTop="1">
      <c r="A60" s="74"/>
      <c r="B60" s="24"/>
      <c r="C60" s="26"/>
      <c r="D60" s="36"/>
      <c r="E60" s="35" t="s">
        <v>56</v>
      </c>
      <c r="F60" s="39"/>
      <c r="G60" s="137"/>
      <c r="H60" s="138"/>
      <c r="I60" s="1" t="s">
        <v>31</v>
      </c>
      <c r="K60" s="1" t="s">
        <v>26</v>
      </c>
      <c r="L60" s="7" t="s">
        <v>44</v>
      </c>
      <c r="P60" s="2"/>
    </row>
    <row r="61" spans="1:16" s="1" customFormat="1" ht="19.5" customHeight="1">
      <c r="A61" s="46">
        <v>19521070</v>
      </c>
      <c r="B61" s="70">
        <f>85932+85932</f>
        <v>171864</v>
      </c>
      <c r="C61" s="69">
        <f>SUM(A61:B61)</f>
        <v>19692934</v>
      </c>
      <c r="D61" s="38">
        <f>K61</f>
        <v>6451159</v>
      </c>
      <c r="E61" s="24" t="s">
        <v>29</v>
      </c>
      <c r="F61" s="39" t="s">
        <v>85</v>
      </c>
      <c r="G61" s="141">
        <f>1692676-1400+28644</f>
        <v>1719920</v>
      </c>
      <c r="H61" s="142"/>
      <c r="I61" s="3">
        <v>4731239</v>
      </c>
      <c r="J61" s="3"/>
      <c r="K61" s="8">
        <f aca="true" t="shared" si="5" ref="K61:K71">G61+I61</f>
        <v>6451159</v>
      </c>
      <c r="L61" s="9">
        <f>C61-D61</f>
        <v>13241775</v>
      </c>
      <c r="P61" s="2"/>
    </row>
    <row r="62" spans="1:16" s="1" customFormat="1" ht="19.5" customHeight="1">
      <c r="A62" s="46">
        <v>3598300</v>
      </c>
      <c r="B62" s="70">
        <v>0</v>
      </c>
      <c r="C62" s="69">
        <f aca="true" t="shared" si="6" ref="C62:C71">SUM(A62:B62)</f>
        <v>3598300</v>
      </c>
      <c r="D62" s="38">
        <f aca="true" t="shared" si="7" ref="D62:D68">K62</f>
        <v>1199400</v>
      </c>
      <c r="E62" s="24" t="s">
        <v>76</v>
      </c>
      <c r="F62" s="39" t="s">
        <v>86</v>
      </c>
      <c r="G62" s="141">
        <v>299850</v>
      </c>
      <c r="H62" s="142"/>
      <c r="I62" s="3">
        <v>899550</v>
      </c>
      <c r="J62" s="3"/>
      <c r="K62" s="8">
        <f t="shared" si="5"/>
        <v>1199400</v>
      </c>
      <c r="L62" s="9">
        <f aca="true" t="shared" si="8" ref="L62:L71">C62-D62</f>
        <v>2398900</v>
      </c>
      <c r="P62" s="2"/>
    </row>
    <row r="63" spans="1:16" s="1" customFormat="1" ht="19.5" customHeight="1">
      <c r="A63" s="45">
        <f>6538000+2380100+697900+8345300+3170100</f>
        <v>21131400</v>
      </c>
      <c r="B63" s="70">
        <v>0</v>
      </c>
      <c r="C63" s="69">
        <f t="shared" si="6"/>
        <v>21131400</v>
      </c>
      <c r="D63" s="38">
        <f t="shared" si="7"/>
        <v>5652307.66</v>
      </c>
      <c r="E63" s="24" t="s">
        <v>77</v>
      </c>
      <c r="F63" s="39" t="s">
        <v>87</v>
      </c>
      <c r="G63" s="141">
        <f>801735+599210</f>
        <v>1400945</v>
      </c>
      <c r="H63" s="142"/>
      <c r="I63" s="3">
        <v>4251362.66</v>
      </c>
      <c r="J63" s="3"/>
      <c r="K63" s="8">
        <f t="shared" si="5"/>
        <v>5652307.66</v>
      </c>
      <c r="L63" s="9">
        <f t="shared" si="8"/>
        <v>15479092.34</v>
      </c>
      <c r="P63" s="2"/>
    </row>
    <row r="64" spans="1:16" s="1" customFormat="1" ht="19.5" customHeight="1">
      <c r="A64" s="46">
        <f>447200+370000+195000+96000+174000</f>
        <v>1282200</v>
      </c>
      <c r="B64" s="70">
        <f>12000+24000</f>
        <v>36000</v>
      </c>
      <c r="C64" s="69">
        <f t="shared" si="6"/>
        <v>1318200</v>
      </c>
      <c r="D64" s="38">
        <f t="shared" si="7"/>
        <v>309280</v>
      </c>
      <c r="E64" s="24" t="s">
        <v>9</v>
      </c>
      <c r="F64" s="39" t="s">
        <v>88</v>
      </c>
      <c r="G64" s="141">
        <f>82360+16000</f>
        <v>98360</v>
      </c>
      <c r="H64" s="142"/>
      <c r="I64" s="3">
        <v>210920</v>
      </c>
      <c r="J64" s="3"/>
      <c r="K64" s="8">
        <f t="shared" si="5"/>
        <v>309280</v>
      </c>
      <c r="L64" s="9">
        <f t="shared" si="8"/>
        <v>1008920</v>
      </c>
      <c r="P64" s="2"/>
    </row>
    <row r="65" spans="1:16" s="1" customFormat="1" ht="19.5" customHeight="1">
      <c r="A65" s="46">
        <f>2969000+630000+1315000+360000+3572450+837000+280000+150000+140000+30000</f>
        <v>10283450</v>
      </c>
      <c r="B65" s="70">
        <v>0</v>
      </c>
      <c r="C65" s="69">
        <f t="shared" si="6"/>
        <v>10283450</v>
      </c>
      <c r="D65" s="38">
        <f t="shared" si="7"/>
        <v>2442657.13</v>
      </c>
      <c r="E65" s="24" t="s">
        <v>10</v>
      </c>
      <c r="F65" s="39" t="s">
        <v>89</v>
      </c>
      <c r="G65" s="141">
        <f>50000+913477.27</f>
        <v>963477.27</v>
      </c>
      <c r="H65" s="142"/>
      <c r="I65" s="3">
        <v>1479179.8599999999</v>
      </c>
      <c r="J65" s="3"/>
      <c r="K65" s="8">
        <f t="shared" si="5"/>
        <v>2442657.13</v>
      </c>
      <c r="L65" s="9">
        <f t="shared" si="8"/>
        <v>7840792.87</v>
      </c>
      <c r="P65" s="2"/>
    </row>
    <row r="66" spans="1:16" s="1" customFormat="1" ht="19.5" customHeight="1">
      <c r="A66" s="46">
        <f>1095000+265000+250000+389500+2608000+1420000</f>
        <v>6027500</v>
      </c>
      <c r="B66" s="70">
        <v>0</v>
      </c>
      <c r="C66" s="69">
        <f t="shared" si="6"/>
        <v>6027500</v>
      </c>
      <c r="D66" s="38">
        <f t="shared" si="7"/>
        <v>487134</v>
      </c>
      <c r="E66" s="24" t="s">
        <v>11</v>
      </c>
      <c r="F66" s="39" t="s">
        <v>90</v>
      </c>
      <c r="G66" s="141">
        <f>117576.3</f>
        <v>117576.3</v>
      </c>
      <c r="H66" s="142"/>
      <c r="I66" s="3">
        <v>369557.7</v>
      </c>
      <c r="J66" s="3"/>
      <c r="K66" s="8">
        <f t="shared" si="5"/>
        <v>487134</v>
      </c>
      <c r="L66" s="9">
        <f t="shared" si="8"/>
        <v>5540366</v>
      </c>
      <c r="P66" s="2"/>
    </row>
    <row r="67" spans="1:16" s="1" customFormat="1" ht="19.5" customHeight="1">
      <c r="A67" s="46">
        <f>695000+298000+71000</f>
        <v>1064000</v>
      </c>
      <c r="B67" s="70">
        <v>0</v>
      </c>
      <c r="C67" s="69">
        <f t="shared" si="6"/>
        <v>1064000</v>
      </c>
      <c r="D67" s="38">
        <f t="shared" si="7"/>
        <v>214630.49</v>
      </c>
      <c r="E67" s="24" t="s">
        <v>12</v>
      </c>
      <c r="F67" s="39" t="s">
        <v>91</v>
      </c>
      <c r="G67" s="156">
        <v>488</v>
      </c>
      <c r="H67" s="157"/>
      <c r="I67" s="3">
        <v>214142.49</v>
      </c>
      <c r="J67" s="3"/>
      <c r="K67" s="8">
        <f t="shared" si="5"/>
        <v>214630.49</v>
      </c>
      <c r="L67" s="9">
        <f t="shared" si="8"/>
        <v>849369.51</v>
      </c>
      <c r="P67" s="2"/>
    </row>
    <row r="68" spans="1:16" s="1" customFormat="1" ht="19.5" customHeight="1">
      <c r="A68" s="97">
        <f>320000+3928000+51080+400000+30000</f>
        <v>4729080</v>
      </c>
      <c r="B68" s="70">
        <v>0</v>
      </c>
      <c r="C68" s="69">
        <f t="shared" si="6"/>
        <v>4729080</v>
      </c>
      <c r="D68" s="38">
        <f t="shared" si="7"/>
        <v>1911000</v>
      </c>
      <c r="E68" s="24" t="s">
        <v>8</v>
      </c>
      <c r="F68" s="39" t="s">
        <v>92</v>
      </c>
      <c r="G68" s="139">
        <v>956000</v>
      </c>
      <c r="H68" s="140"/>
      <c r="I68" s="3">
        <v>955000</v>
      </c>
      <c r="J68" s="3"/>
      <c r="K68" s="8">
        <f t="shared" si="5"/>
        <v>1911000</v>
      </c>
      <c r="L68" s="9">
        <f t="shared" si="8"/>
        <v>2818080</v>
      </c>
      <c r="P68" s="2"/>
    </row>
    <row r="69" spans="1:16" s="1" customFormat="1" ht="19.5" customHeight="1">
      <c r="A69" s="45">
        <f>651600+139700+302600+316000+4125100</f>
        <v>5535000</v>
      </c>
      <c r="B69" s="70">
        <v>27000</v>
      </c>
      <c r="C69" s="69">
        <f t="shared" si="6"/>
        <v>5562000</v>
      </c>
      <c r="D69" s="38">
        <f>K69</f>
        <v>27000</v>
      </c>
      <c r="E69" s="24" t="s">
        <v>13</v>
      </c>
      <c r="F69" s="39" t="s">
        <v>93</v>
      </c>
      <c r="G69" s="141">
        <v>27000</v>
      </c>
      <c r="H69" s="142"/>
      <c r="I69" s="3">
        <v>0</v>
      </c>
      <c r="J69" s="3"/>
      <c r="K69" s="8">
        <f t="shared" si="5"/>
        <v>27000</v>
      </c>
      <c r="L69" s="9">
        <f t="shared" si="8"/>
        <v>5535000</v>
      </c>
      <c r="P69" s="2"/>
    </row>
    <row r="70" spans="1:16" s="1" customFormat="1" ht="19.5" customHeight="1">
      <c r="A70" s="98">
        <f>450000+8378000</f>
        <v>8828000</v>
      </c>
      <c r="B70" s="70">
        <v>0</v>
      </c>
      <c r="C70" s="69">
        <f t="shared" si="6"/>
        <v>8828000</v>
      </c>
      <c r="D70" s="38">
        <f>K70</f>
        <v>0</v>
      </c>
      <c r="E70" s="24" t="s">
        <v>14</v>
      </c>
      <c r="F70" s="39">
        <v>54200000</v>
      </c>
      <c r="G70" s="141">
        <v>0</v>
      </c>
      <c r="H70" s="142"/>
      <c r="I70" s="3">
        <v>0</v>
      </c>
      <c r="J70" s="3"/>
      <c r="K70" s="8">
        <f t="shared" si="5"/>
        <v>0</v>
      </c>
      <c r="L70" s="9">
        <f t="shared" si="8"/>
        <v>8828000</v>
      </c>
      <c r="P70" s="2"/>
    </row>
    <row r="71" spans="1:16" s="1" customFormat="1" ht="19.5" customHeight="1">
      <c r="A71" s="98">
        <v>0</v>
      </c>
      <c r="B71" s="70">
        <v>0</v>
      </c>
      <c r="C71" s="69">
        <f t="shared" si="6"/>
        <v>0</v>
      </c>
      <c r="D71" s="38">
        <f>K71</f>
        <v>0</v>
      </c>
      <c r="E71" s="31" t="s">
        <v>94</v>
      </c>
      <c r="F71" s="39">
        <v>55000000</v>
      </c>
      <c r="G71" s="147">
        <v>0</v>
      </c>
      <c r="H71" s="148"/>
      <c r="I71" s="3">
        <v>0</v>
      </c>
      <c r="J71" s="3"/>
      <c r="K71" s="8">
        <f t="shared" si="5"/>
        <v>0</v>
      </c>
      <c r="L71" s="9">
        <f t="shared" si="8"/>
        <v>0</v>
      </c>
      <c r="P71" s="2"/>
    </row>
    <row r="72" spans="1:16" s="1" customFormat="1" ht="19.5" customHeight="1" thickBot="1">
      <c r="A72" s="75"/>
      <c r="B72" s="42"/>
      <c r="C72" s="52"/>
      <c r="D72" s="53">
        <f>SUM(D60:D70)</f>
        <v>18694568.28</v>
      </c>
      <c r="E72" s="31"/>
      <c r="F72" s="28"/>
      <c r="G72" s="158">
        <f>SUM(G60:G70)</f>
        <v>5583616.569999999</v>
      </c>
      <c r="H72" s="159"/>
      <c r="I72" s="4">
        <f>SUM(I61:I71)</f>
        <v>13110951.709999999</v>
      </c>
      <c r="K72" s="3"/>
      <c r="L72" s="3">
        <f>SUM(L61:L70)</f>
        <v>63540295.72</v>
      </c>
      <c r="P72" s="2"/>
    </row>
    <row r="73" spans="1:16" s="1" customFormat="1" ht="19.5" customHeight="1" thickTop="1">
      <c r="A73" s="30"/>
      <c r="B73" s="24"/>
      <c r="C73" s="27"/>
      <c r="D73" s="45">
        <f>K73</f>
        <v>0</v>
      </c>
      <c r="E73" s="27" t="s">
        <v>15</v>
      </c>
      <c r="F73" s="28">
        <v>31000000</v>
      </c>
      <c r="G73" s="151">
        <v>0</v>
      </c>
      <c r="H73" s="152"/>
      <c r="I73" s="3">
        <v>0</v>
      </c>
      <c r="J73" s="3"/>
      <c r="K73" s="2">
        <f aca="true" t="shared" si="9" ref="K73:K86">G73+I73</f>
        <v>0</v>
      </c>
      <c r="L73" s="2"/>
      <c r="P73" s="2"/>
    </row>
    <row r="74" spans="1:16" s="1" customFormat="1" ht="19.5" customHeight="1">
      <c r="A74" s="30"/>
      <c r="B74" s="24"/>
      <c r="C74" s="27"/>
      <c r="D74" s="45">
        <f>K74</f>
        <v>57288</v>
      </c>
      <c r="E74" s="27" t="s">
        <v>63</v>
      </c>
      <c r="F74" s="28">
        <v>29010000</v>
      </c>
      <c r="G74" s="151">
        <v>28644</v>
      </c>
      <c r="H74" s="152"/>
      <c r="I74" s="3">
        <v>28644</v>
      </c>
      <c r="J74" s="3"/>
      <c r="K74" s="2">
        <f t="shared" si="9"/>
        <v>57288</v>
      </c>
      <c r="L74" s="2"/>
      <c r="P74" s="2"/>
    </row>
    <row r="75" spans="1:16" s="1" customFormat="1" ht="19.5" customHeight="1">
      <c r="A75" s="30"/>
      <c r="B75" s="24"/>
      <c r="C75" s="27"/>
      <c r="D75" s="45">
        <f aca="true" t="shared" si="10" ref="D75:D86">K75</f>
        <v>157910</v>
      </c>
      <c r="E75" s="27" t="s">
        <v>65</v>
      </c>
      <c r="F75" s="39">
        <v>11041000</v>
      </c>
      <c r="G75" s="151">
        <v>52800</v>
      </c>
      <c r="H75" s="152"/>
      <c r="I75" s="3">
        <v>105110</v>
      </c>
      <c r="J75" s="3"/>
      <c r="K75" s="2">
        <f t="shared" si="9"/>
        <v>157910</v>
      </c>
      <c r="L75" s="2">
        <v>25968108</v>
      </c>
      <c r="P75" s="2"/>
    </row>
    <row r="76" spans="1:16" s="1" customFormat="1" ht="19.5" customHeight="1">
      <c r="A76" s="30"/>
      <c r="B76" s="24"/>
      <c r="C76" s="27"/>
      <c r="D76" s="45">
        <f t="shared" si="10"/>
        <v>0</v>
      </c>
      <c r="E76" s="27" t="s">
        <v>30</v>
      </c>
      <c r="F76" s="39">
        <v>11047000</v>
      </c>
      <c r="G76" s="151">
        <v>0</v>
      </c>
      <c r="H76" s="152"/>
      <c r="I76" s="3">
        <v>0</v>
      </c>
      <c r="J76" s="3"/>
      <c r="K76" s="2">
        <f t="shared" si="9"/>
        <v>0</v>
      </c>
      <c r="L76" s="2" t="e">
        <f>#REF!-L75</f>
        <v>#REF!</v>
      </c>
      <c r="P76" s="2"/>
    </row>
    <row r="77" spans="1:16" s="1" customFormat="1" ht="19.5" customHeight="1">
      <c r="A77" s="30"/>
      <c r="B77" s="24"/>
      <c r="C77" s="26"/>
      <c r="D77" s="45">
        <f t="shared" si="10"/>
        <v>0</v>
      </c>
      <c r="E77" s="24" t="s">
        <v>36</v>
      </c>
      <c r="F77" s="39">
        <v>11043002</v>
      </c>
      <c r="G77" s="151">
        <v>0</v>
      </c>
      <c r="H77" s="152"/>
      <c r="I77" s="3">
        <v>0</v>
      </c>
      <c r="J77" s="3"/>
      <c r="K77" s="2">
        <f t="shared" si="9"/>
        <v>0</v>
      </c>
      <c r="L77" s="2"/>
      <c r="P77" s="2"/>
    </row>
    <row r="78" spans="1:16" s="1" customFormat="1" ht="19.5" customHeight="1">
      <c r="A78" s="30"/>
      <c r="B78" s="24"/>
      <c r="C78" s="26"/>
      <c r="D78" s="45">
        <f t="shared" si="10"/>
        <v>0</v>
      </c>
      <c r="E78" s="24" t="s">
        <v>39</v>
      </c>
      <c r="F78" s="39">
        <v>11043003</v>
      </c>
      <c r="G78" s="151">
        <v>0</v>
      </c>
      <c r="H78" s="152"/>
      <c r="I78" s="3">
        <v>0</v>
      </c>
      <c r="J78" s="3"/>
      <c r="K78" s="2">
        <f t="shared" si="9"/>
        <v>0</v>
      </c>
      <c r="L78" s="2"/>
      <c r="P78" s="2"/>
    </row>
    <row r="79" spans="1:16" s="1" customFormat="1" ht="19.5" customHeight="1">
      <c r="A79" s="30"/>
      <c r="B79" s="24"/>
      <c r="C79" s="26"/>
      <c r="D79" s="45">
        <f t="shared" si="10"/>
        <v>0</v>
      </c>
      <c r="E79" s="27" t="s">
        <v>45</v>
      </c>
      <c r="F79" s="39">
        <v>11045000</v>
      </c>
      <c r="G79" s="151">
        <v>0</v>
      </c>
      <c r="H79" s="152"/>
      <c r="I79" s="3">
        <v>0</v>
      </c>
      <c r="J79" s="3"/>
      <c r="K79" s="2">
        <f t="shared" si="9"/>
        <v>0</v>
      </c>
      <c r="L79" s="2"/>
      <c r="P79" s="2"/>
    </row>
    <row r="80" spans="1:16" s="1" customFormat="1" ht="19.5" customHeight="1">
      <c r="A80" s="30"/>
      <c r="B80" s="24"/>
      <c r="C80" s="26"/>
      <c r="D80" s="45">
        <f t="shared" si="10"/>
        <v>28644</v>
      </c>
      <c r="E80" s="24" t="s">
        <v>62</v>
      </c>
      <c r="F80" s="39">
        <v>19040000</v>
      </c>
      <c r="G80" s="151">
        <v>0</v>
      </c>
      <c r="H80" s="152"/>
      <c r="I80" s="3">
        <v>28644</v>
      </c>
      <c r="J80" s="3"/>
      <c r="K80" s="2">
        <f t="shared" si="9"/>
        <v>28644</v>
      </c>
      <c r="L80" s="2"/>
      <c r="P80" s="2"/>
    </row>
    <row r="81" spans="1:16" s="1" customFormat="1" ht="15.75" customHeight="1">
      <c r="A81" s="30"/>
      <c r="B81" s="25"/>
      <c r="C81" s="28"/>
      <c r="D81" s="45">
        <f>K81</f>
        <v>0</v>
      </c>
      <c r="E81" s="27" t="s">
        <v>95</v>
      </c>
      <c r="F81" s="39">
        <v>11069999</v>
      </c>
      <c r="G81" s="141">
        <v>0</v>
      </c>
      <c r="H81" s="142"/>
      <c r="I81" s="3">
        <v>0</v>
      </c>
      <c r="J81" s="3"/>
      <c r="K81" s="2">
        <f>SUM(G81+I81)</f>
        <v>0</v>
      </c>
      <c r="L81" s="2"/>
      <c r="P81" s="2"/>
    </row>
    <row r="82" spans="1:16" s="1" customFormat="1" ht="19.5" customHeight="1">
      <c r="A82" s="24"/>
      <c r="B82" s="24"/>
      <c r="C82" s="26"/>
      <c r="D82" s="45">
        <f>K82</f>
        <v>0</v>
      </c>
      <c r="E82" s="24" t="s">
        <v>61</v>
      </c>
      <c r="F82" s="39">
        <v>11042000</v>
      </c>
      <c r="G82" s="151">
        <v>0</v>
      </c>
      <c r="H82" s="152"/>
      <c r="I82" s="3">
        <v>0</v>
      </c>
      <c r="J82" s="3"/>
      <c r="K82" s="2">
        <f t="shared" si="9"/>
        <v>0</v>
      </c>
      <c r="L82" s="2"/>
      <c r="P82" s="2"/>
    </row>
    <row r="83" spans="1:16" s="1" customFormat="1" ht="19.5" customHeight="1">
      <c r="A83" s="24"/>
      <c r="B83" s="24"/>
      <c r="C83" s="26"/>
      <c r="D83" s="45">
        <f t="shared" si="10"/>
        <v>1497899.29</v>
      </c>
      <c r="E83" s="24" t="s">
        <v>33</v>
      </c>
      <c r="F83" s="28">
        <v>21040000</v>
      </c>
      <c r="G83" s="151">
        <v>355564.06</v>
      </c>
      <c r="H83" s="152"/>
      <c r="I83" s="3">
        <v>1142335.23</v>
      </c>
      <c r="J83" s="3"/>
      <c r="K83" s="2">
        <f t="shared" si="9"/>
        <v>1497899.29</v>
      </c>
      <c r="L83" s="2"/>
      <c r="P83" s="2"/>
    </row>
    <row r="84" spans="1:16" s="1" customFormat="1" ht="19.5" customHeight="1">
      <c r="A84" s="24"/>
      <c r="B84" s="24"/>
      <c r="C84" s="26"/>
      <c r="D84" s="45">
        <f t="shared" si="10"/>
        <v>0</v>
      </c>
      <c r="E84" s="24" t="s">
        <v>66</v>
      </c>
      <c r="F84" s="28">
        <v>21040016</v>
      </c>
      <c r="G84" s="151">
        <v>0</v>
      </c>
      <c r="H84" s="152"/>
      <c r="I84" s="3">
        <v>0</v>
      </c>
      <c r="J84" s="3"/>
      <c r="K84" s="2">
        <f t="shared" si="9"/>
        <v>0</v>
      </c>
      <c r="L84" s="2"/>
      <c r="P84" s="2"/>
    </row>
    <row r="85" spans="1:16" s="1" customFormat="1" ht="19.5" customHeight="1">
      <c r="A85" s="24"/>
      <c r="B85" s="24"/>
      <c r="C85" s="26"/>
      <c r="D85" s="45">
        <f t="shared" si="10"/>
        <v>6205909.25</v>
      </c>
      <c r="E85" s="24" t="s">
        <v>37</v>
      </c>
      <c r="F85" s="28">
        <v>21010000</v>
      </c>
      <c r="G85" s="151"/>
      <c r="H85" s="152"/>
      <c r="I85" s="3">
        <v>6205909.25</v>
      </c>
      <c r="J85" s="3"/>
      <c r="K85" s="2">
        <f t="shared" si="9"/>
        <v>6205909.25</v>
      </c>
      <c r="L85" s="2"/>
      <c r="P85" s="2"/>
    </row>
    <row r="86" spans="1:16" s="1" customFormat="1" ht="19.5" customHeight="1">
      <c r="A86" s="24"/>
      <c r="B86" s="24"/>
      <c r="C86" s="26"/>
      <c r="D86" s="45">
        <f t="shared" si="10"/>
        <v>3100</v>
      </c>
      <c r="E86" s="24" t="s">
        <v>38</v>
      </c>
      <c r="F86" s="28">
        <v>21030000</v>
      </c>
      <c r="G86" s="151">
        <v>0</v>
      </c>
      <c r="H86" s="152"/>
      <c r="I86" s="3">
        <v>3100</v>
      </c>
      <c r="J86" s="3"/>
      <c r="K86" s="2">
        <f t="shared" si="9"/>
        <v>3100</v>
      </c>
      <c r="L86" s="2"/>
      <c r="P86" s="2"/>
    </row>
    <row r="87" spans="1:16" s="1" customFormat="1" ht="19.5" customHeight="1" thickBot="1">
      <c r="A87" s="29"/>
      <c r="B87" s="24"/>
      <c r="C87" s="26"/>
      <c r="D87" s="82">
        <f>SUM(D73:D86)</f>
        <v>7950750.54</v>
      </c>
      <c r="E87" s="29"/>
      <c r="F87" s="50"/>
      <c r="G87" s="158">
        <f>SUM(G73:G86)</f>
        <v>437008.06</v>
      </c>
      <c r="H87" s="159"/>
      <c r="I87" s="3">
        <f>SUM(I73:I86)</f>
        <v>7513742.48</v>
      </c>
      <c r="K87" s="3">
        <f>SUM(K73:K86)</f>
        <v>7950750.54</v>
      </c>
      <c r="L87" s="3"/>
      <c r="P87" s="2"/>
    </row>
    <row r="88" spans="1:16" s="1" customFormat="1" ht="19.5" customHeight="1" thickTop="1">
      <c r="A88" s="71">
        <f>SUM(A61:A87)</f>
        <v>82000000</v>
      </c>
      <c r="B88" s="71">
        <f>SUM(B61:B87)</f>
        <v>234864</v>
      </c>
      <c r="C88" s="71">
        <f>SUM(C61:C87)</f>
        <v>82234864</v>
      </c>
      <c r="D88" s="81">
        <f>D72+D87</f>
        <v>26645318.82</v>
      </c>
      <c r="E88" s="56" t="s">
        <v>20</v>
      </c>
      <c r="F88" s="57"/>
      <c r="G88" s="164">
        <f>G72+G87</f>
        <v>6020624.629999999</v>
      </c>
      <c r="H88" s="165"/>
      <c r="P88" s="2"/>
    </row>
    <row r="89" spans="1:16" s="1" customFormat="1" ht="19.5" customHeight="1">
      <c r="A89" s="58"/>
      <c r="B89" s="58"/>
      <c r="C89" s="58"/>
      <c r="D89" s="59">
        <f>D53-D88</f>
        <v>11815861.64</v>
      </c>
      <c r="E89" s="25" t="s">
        <v>21</v>
      </c>
      <c r="F89" s="50"/>
      <c r="G89" s="166"/>
      <c r="H89" s="167"/>
      <c r="K89" s="1">
        <v>49617015.23</v>
      </c>
      <c r="P89" s="2"/>
    </row>
    <row r="90" spans="1:16" s="1" customFormat="1" ht="19.5" customHeight="1">
      <c r="A90" s="26"/>
      <c r="B90" s="26"/>
      <c r="C90" s="26"/>
      <c r="D90" s="60"/>
      <c r="E90" s="26" t="s">
        <v>22</v>
      </c>
      <c r="F90" s="50"/>
      <c r="G90" s="141"/>
      <c r="H90" s="142"/>
      <c r="K90" s="1">
        <v>49374015.23</v>
      </c>
      <c r="P90" s="2"/>
    </row>
    <row r="91" spans="1:16" s="1" customFormat="1" ht="19.5" customHeight="1">
      <c r="A91" s="26"/>
      <c r="B91" s="26"/>
      <c r="C91" s="26"/>
      <c r="D91" s="61"/>
      <c r="E91" s="26" t="s">
        <v>23</v>
      </c>
      <c r="F91" s="50"/>
      <c r="G91" s="160">
        <f>G53-G88</f>
        <v>7390901.3500000015</v>
      </c>
      <c r="H91" s="161"/>
      <c r="K91" s="1">
        <f>K89-K90</f>
        <v>243000</v>
      </c>
      <c r="P91" s="2"/>
    </row>
    <row r="92" spans="1:16" s="1" customFormat="1" ht="19.5" customHeight="1" thickBot="1">
      <c r="A92" s="26"/>
      <c r="B92" s="26"/>
      <c r="C92" s="26"/>
      <c r="D92" s="54">
        <f>D8+D53-D88</f>
        <v>61386597.40999999</v>
      </c>
      <c r="E92" s="25" t="s">
        <v>24</v>
      </c>
      <c r="F92" s="50"/>
      <c r="G92" s="158">
        <f>G8+G53-G88</f>
        <v>61386597.41</v>
      </c>
      <c r="H92" s="159"/>
      <c r="I92" s="2">
        <f>21534904.15+2112816.51+930067.16+36808809.59</f>
        <v>61386597.41</v>
      </c>
      <c r="J92" s="2"/>
      <c r="K92" s="10">
        <f>G92-I92</f>
        <v>0</v>
      </c>
      <c r="L92" s="10"/>
      <c r="P92" s="2"/>
    </row>
    <row r="93" spans="1:16" s="1" customFormat="1" ht="14.25" customHeight="1" thickTop="1">
      <c r="A93" s="26"/>
      <c r="B93" s="26"/>
      <c r="C93" s="26"/>
      <c r="D93" s="62"/>
      <c r="E93" s="63"/>
      <c r="F93" s="25"/>
      <c r="G93" s="62"/>
      <c r="H93" s="64"/>
      <c r="I93" s="3">
        <f>G92-I92</f>
        <v>0</v>
      </c>
      <c r="J93" s="3"/>
      <c r="K93" s="10">
        <v>55106253.61699999</v>
      </c>
      <c r="L93" s="10"/>
      <c r="P93" s="2"/>
    </row>
    <row r="94" spans="1:16" s="1" customFormat="1" ht="18.75" customHeight="1">
      <c r="A94" s="26"/>
      <c r="B94" s="26"/>
      <c r="C94" s="26"/>
      <c r="D94" s="62"/>
      <c r="E94" s="63"/>
      <c r="F94" s="25"/>
      <c r="G94" s="62"/>
      <c r="H94" s="64"/>
      <c r="I94" s="3"/>
      <c r="J94" s="3"/>
      <c r="K94" s="10"/>
      <c r="L94" s="10"/>
      <c r="P94" s="2"/>
    </row>
    <row r="95" spans="1:16" s="1" customFormat="1" ht="22.5" customHeight="1">
      <c r="A95" s="102" t="s">
        <v>41</v>
      </c>
      <c r="B95" s="103"/>
      <c r="C95" s="103"/>
      <c r="D95" s="162" t="s">
        <v>96</v>
      </c>
      <c r="E95" s="162"/>
      <c r="F95" s="162"/>
      <c r="G95" s="162"/>
      <c r="H95" s="162"/>
      <c r="I95" s="3"/>
      <c r="K95" s="10"/>
      <c r="L95" s="10"/>
      <c r="P95" s="2"/>
    </row>
    <row r="96" spans="1:16" s="1" customFormat="1" ht="22.5" customHeight="1">
      <c r="A96" s="102" t="s">
        <v>64</v>
      </c>
      <c r="B96" s="103"/>
      <c r="C96" s="103"/>
      <c r="D96" s="104" t="s">
        <v>101</v>
      </c>
      <c r="E96" s="104"/>
      <c r="F96" s="104"/>
      <c r="G96" s="104"/>
      <c r="H96" s="64"/>
      <c r="I96" s="3"/>
      <c r="K96" s="10"/>
      <c r="L96" s="10"/>
      <c r="P96" s="2"/>
    </row>
    <row r="97" spans="1:16" s="1" customFormat="1" ht="14.25" customHeight="1">
      <c r="A97" s="105" t="s">
        <v>60</v>
      </c>
      <c r="B97" s="105"/>
      <c r="C97" s="105"/>
      <c r="D97" s="106" t="s">
        <v>103</v>
      </c>
      <c r="F97" s="104"/>
      <c r="G97" s="107"/>
      <c r="H97" s="25"/>
      <c r="K97" s="2"/>
      <c r="L97" s="2"/>
      <c r="P97" s="2"/>
    </row>
    <row r="98" spans="1:16" s="1" customFormat="1" ht="18.75" customHeight="1">
      <c r="A98" s="26"/>
      <c r="B98" s="26"/>
      <c r="C98" s="26"/>
      <c r="D98" s="106" t="s">
        <v>102</v>
      </c>
      <c r="E98" s="63"/>
      <c r="F98" s="25"/>
      <c r="G98" s="62"/>
      <c r="H98" s="64"/>
      <c r="I98" s="3"/>
      <c r="J98" s="3"/>
      <c r="K98" s="10"/>
      <c r="L98" s="10"/>
      <c r="P98" s="2"/>
    </row>
    <row r="99" spans="1:16" s="1" customFormat="1" ht="18.75" customHeight="1">
      <c r="A99" s="26"/>
      <c r="B99" s="26"/>
      <c r="C99" s="26"/>
      <c r="D99" s="62"/>
      <c r="E99" s="63"/>
      <c r="F99" s="25"/>
      <c r="G99" s="62"/>
      <c r="H99" s="64"/>
      <c r="I99" s="3"/>
      <c r="J99" s="3"/>
      <c r="K99" s="10"/>
      <c r="L99" s="10"/>
      <c r="P99" s="2"/>
    </row>
    <row r="100" spans="1:16" s="1" customFormat="1" ht="18.75" customHeight="1">
      <c r="A100" s="26"/>
      <c r="B100" s="26"/>
      <c r="C100" s="26"/>
      <c r="D100" s="62"/>
      <c r="E100" s="63"/>
      <c r="F100" s="25"/>
      <c r="G100" s="62"/>
      <c r="H100" s="64"/>
      <c r="I100" s="3"/>
      <c r="J100" s="3"/>
      <c r="K100" s="10"/>
      <c r="L100" s="10"/>
      <c r="P100" s="2"/>
    </row>
    <row r="101" spans="1:16" s="1" customFormat="1" ht="18.75" customHeight="1">
      <c r="A101" s="26"/>
      <c r="B101" s="26"/>
      <c r="C101" s="26"/>
      <c r="D101" s="62"/>
      <c r="E101" s="63"/>
      <c r="F101" s="25"/>
      <c r="G101" s="62"/>
      <c r="H101" s="64"/>
      <c r="I101" s="3"/>
      <c r="J101" s="3"/>
      <c r="K101" s="10"/>
      <c r="L101" s="10"/>
      <c r="P101" s="2"/>
    </row>
    <row r="102" spans="1:16" s="1" customFormat="1" ht="22.5" customHeight="1">
      <c r="A102" s="65" t="s">
        <v>41</v>
      </c>
      <c r="B102" s="26"/>
      <c r="C102" s="26"/>
      <c r="D102" s="163" t="s">
        <v>59</v>
      </c>
      <c r="E102" s="163"/>
      <c r="F102" s="163"/>
      <c r="G102" s="163"/>
      <c r="H102" s="64"/>
      <c r="I102" s="3"/>
      <c r="K102" s="10"/>
      <c r="L102" s="10"/>
      <c r="P102" s="2"/>
    </row>
    <row r="103" spans="1:16" s="1" customFormat="1" ht="22.5" customHeight="1">
      <c r="A103" s="73" t="s">
        <v>72</v>
      </c>
      <c r="B103" s="26"/>
      <c r="C103" s="26"/>
      <c r="D103" s="63" t="s">
        <v>73</v>
      </c>
      <c r="E103" s="63"/>
      <c r="F103" s="63"/>
      <c r="G103" s="63"/>
      <c r="H103" s="64"/>
      <c r="I103" s="3"/>
      <c r="K103" s="10"/>
      <c r="L103" s="10"/>
      <c r="P103" s="2"/>
    </row>
    <row r="104" spans="1:16" s="1" customFormat="1" ht="14.25" customHeight="1">
      <c r="A104" s="95" t="s">
        <v>71</v>
      </c>
      <c r="B104" s="73"/>
      <c r="C104" s="73"/>
      <c r="D104" s="67" t="s">
        <v>75</v>
      </c>
      <c r="E104" s="66"/>
      <c r="F104" s="63"/>
      <c r="G104" s="68"/>
      <c r="H104" s="25"/>
      <c r="K104" s="2"/>
      <c r="L104" s="2"/>
      <c r="P104" s="2"/>
    </row>
    <row r="105" spans="1:12" ht="17.25" customHeight="1">
      <c r="A105" s="73" t="s">
        <v>60</v>
      </c>
      <c r="B105" s="76"/>
      <c r="C105" s="76"/>
      <c r="D105" s="67" t="s">
        <v>74</v>
      </c>
      <c r="E105" s="77"/>
      <c r="F105" s="78"/>
      <c r="G105" s="79"/>
      <c r="H105" s="80"/>
      <c r="K105" s="12"/>
      <c r="L105" s="12"/>
    </row>
    <row r="106" spans="1:15" ht="21" customHeight="1">
      <c r="A106" s="18"/>
      <c r="B106" s="18"/>
      <c r="C106" s="18"/>
      <c r="D106" s="18"/>
      <c r="E106" s="21"/>
      <c r="F106" s="17"/>
      <c r="G106" s="20"/>
      <c r="H106" s="15"/>
      <c r="I106" s="14"/>
      <c r="J106" s="16"/>
      <c r="K106" s="22"/>
      <c r="L106" s="22"/>
      <c r="M106" s="16"/>
      <c r="N106" s="16"/>
      <c r="O106" s="16"/>
    </row>
    <row r="107" spans="1:15" ht="21" customHeight="1">
      <c r="A107" s="18"/>
      <c r="B107" s="18"/>
      <c r="C107" s="18"/>
      <c r="D107" s="18"/>
      <c r="E107" s="19"/>
      <c r="F107" s="17"/>
      <c r="G107" s="20"/>
      <c r="H107" s="15"/>
      <c r="I107" s="14"/>
      <c r="J107" s="16"/>
      <c r="K107" s="22"/>
      <c r="L107" s="22"/>
      <c r="M107" s="23"/>
      <c r="N107" s="16"/>
      <c r="O107" s="16"/>
    </row>
    <row r="108" spans="1:15" ht="21" customHeight="1">
      <c r="A108" s="18"/>
      <c r="B108" s="18"/>
      <c r="C108" s="18"/>
      <c r="D108" s="18"/>
      <c r="E108" s="19"/>
      <c r="F108" s="17"/>
      <c r="G108" s="20"/>
      <c r="H108" s="15"/>
      <c r="I108" s="14"/>
      <c r="J108" s="16"/>
      <c r="K108" s="22"/>
      <c r="L108" s="22"/>
      <c r="M108" s="23"/>
      <c r="N108" s="16"/>
      <c r="O108" s="16"/>
    </row>
    <row r="109" spans="1:15" ht="21" customHeight="1">
      <c r="A109" s="18"/>
      <c r="B109" s="18"/>
      <c r="C109" s="18"/>
      <c r="D109" s="18"/>
      <c r="E109" s="19"/>
      <c r="F109" s="17"/>
      <c r="G109" s="20"/>
      <c r="H109" s="15"/>
      <c r="I109" s="14"/>
      <c r="J109" s="16"/>
      <c r="K109" s="22"/>
      <c r="L109" s="22"/>
      <c r="M109" s="23"/>
      <c r="N109" s="16"/>
      <c r="O109" s="16"/>
    </row>
    <row r="110" spans="9:16" ht="17.25">
      <c r="I110" s="12"/>
      <c r="J110" s="12"/>
      <c r="K110" s="12"/>
      <c r="L110" s="12"/>
      <c r="P110" s="11"/>
    </row>
    <row r="111" spans="9:16" ht="17.25">
      <c r="I111" s="12"/>
      <c r="J111" s="12"/>
      <c r="K111" s="12"/>
      <c r="L111" s="12"/>
      <c r="P111" s="11"/>
    </row>
    <row r="112" spans="9:16" ht="17.25">
      <c r="I112" s="12"/>
      <c r="J112" s="12"/>
      <c r="K112" s="12"/>
      <c r="L112" s="12"/>
      <c r="P112" s="11"/>
    </row>
    <row r="113" spans="9:16" ht="17.25">
      <c r="I113" s="12"/>
      <c r="J113" s="12"/>
      <c r="K113" s="12"/>
      <c r="L113" s="12"/>
      <c r="P113" s="11"/>
    </row>
    <row r="114" spans="9:16" ht="17.25">
      <c r="I114" s="12"/>
      <c r="J114" s="12"/>
      <c r="K114" s="12"/>
      <c r="L114" s="12"/>
      <c r="P114" s="11"/>
    </row>
    <row r="115" spans="9:16" ht="17.25">
      <c r="I115" s="12"/>
      <c r="J115" s="12"/>
      <c r="K115" s="12"/>
      <c r="L115" s="12"/>
      <c r="P115" s="11"/>
    </row>
    <row r="116" spans="9:16" ht="17.25">
      <c r="I116" s="12"/>
      <c r="J116" s="12"/>
      <c r="K116" s="12"/>
      <c r="L116" s="12"/>
      <c r="P116" s="11"/>
    </row>
    <row r="117" spans="9:16" ht="17.25">
      <c r="I117" s="12"/>
      <c r="J117" s="12"/>
      <c r="K117" s="12"/>
      <c r="L117" s="12"/>
      <c r="P117" s="11"/>
    </row>
  </sheetData>
  <sheetProtection/>
  <mergeCells count="86">
    <mergeCell ref="G90:H90"/>
    <mergeCell ref="G91:H91"/>
    <mergeCell ref="G92:H92"/>
    <mergeCell ref="D95:H95"/>
    <mergeCell ref="D102:G102"/>
    <mergeCell ref="G84:H84"/>
    <mergeCell ref="G85:H85"/>
    <mergeCell ref="G86:H86"/>
    <mergeCell ref="G87:H87"/>
    <mergeCell ref="G88:H88"/>
    <mergeCell ref="G89:H89"/>
    <mergeCell ref="G78:H78"/>
    <mergeCell ref="G79:H79"/>
    <mergeCell ref="G80:H80"/>
    <mergeCell ref="G81:H81"/>
    <mergeCell ref="G82:H82"/>
    <mergeCell ref="G83:H83"/>
    <mergeCell ref="G72:H72"/>
    <mergeCell ref="G73:H73"/>
    <mergeCell ref="G74:H74"/>
    <mergeCell ref="G75:H75"/>
    <mergeCell ref="G76:H76"/>
    <mergeCell ref="G77:H77"/>
    <mergeCell ref="G66:H66"/>
    <mergeCell ref="G67:H67"/>
    <mergeCell ref="G68:H68"/>
    <mergeCell ref="G69:H69"/>
    <mergeCell ref="G70:H70"/>
    <mergeCell ref="G71:H71"/>
    <mergeCell ref="G60:H60"/>
    <mergeCell ref="G61:H61"/>
    <mergeCell ref="G62:H62"/>
    <mergeCell ref="G63:H63"/>
    <mergeCell ref="G64:H64"/>
    <mergeCell ref="G65:H65"/>
    <mergeCell ref="G51:H51"/>
    <mergeCell ref="G52:H52"/>
    <mergeCell ref="G53:H53"/>
    <mergeCell ref="A55:H55"/>
    <mergeCell ref="A56:D56"/>
    <mergeCell ref="E56:E59"/>
    <mergeCell ref="G57:H57"/>
    <mergeCell ref="G45:H45"/>
    <mergeCell ref="G46:H46"/>
    <mergeCell ref="G47:H47"/>
    <mergeCell ref="G48:H48"/>
    <mergeCell ref="G49:H49"/>
    <mergeCell ref="G50:H50"/>
    <mergeCell ref="G39:H39"/>
    <mergeCell ref="G40:H40"/>
    <mergeCell ref="G41:H41"/>
    <mergeCell ref="G42:H42"/>
    <mergeCell ref="G43:H43"/>
    <mergeCell ref="G44:H44"/>
    <mergeCell ref="G33:H33"/>
    <mergeCell ref="G34:H34"/>
    <mergeCell ref="G35:H35"/>
    <mergeCell ref="G36:H36"/>
    <mergeCell ref="G37:H37"/>
    <mergeCell ref="G38:H38"/>
    <mergeCell ref="G21:H21"/>
    <mergeCell ref="G22:H22"/>
    <mergeCell ref="G23:H23"/>
    <mergeCell ref="G30:H30"/>
    <mergeCell ref="G31:H31"/>
    <mergeCell ref="G32:H32"/>
    <mergeCell ref="G14:H14"/>
    <mergeCell ref="G15:H15"/>
    <mergeCell ref="G16:H16"/>
    <mergeCell ref="G18:H18"/>
    <mergeCell ref="G19:H19"/>
    <mergeCell ref="G20:H20"/>
    <mergeCell ref="G8:H8"/>
    <mergeCell ref="G9:H9"/>
    <mergeCell ref="G10:H10"/>
    <mergeCell ref="G11:H11"/>
    <mergeCell ref="G12:H12"/>
    <mergeCell ref="G13:H13"/>
    <mergeCell ref="A1:H1"/>
    <mergeCell ref="A2:H2"/>
    <mergeCell ref="A3:H3"/>
    <mergeCell ref="A4:D4"/>
    <mergeCell ref="E4:E6"/>
    <mergeCell ref="G4:H4"/>
    <mergeCell ref="G5:H5"/>
    <mergeCell ref="G6:H6"/>
  </mergeCells>
  <printOptions/>
  <pageMargins left="0.31496062992125984" right="0.31496062992125984" top="0.2755905511811024" bottom="0" header="0.15748031496062992" footer="0.2362204724409449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7"/>
  <sheetViews>
    <sheetView tabSelected="1" view="pageBreakPreview" zoomScale="140" zoomScaleSheetLayoutView="140" workbookViewId="0" topLeftCell="A84">
      <selection activeCell="C96" sqref="C96"/>
    </sheetView>
  </sheetViews>
  <sheetFormatPr defaultColWidth="9.140625" defaultRowHeight="21.75"/>
  <cols>
    <col min="1" max="3" width="11.28125" style="11" customWidth="1"/>
    <col min="4" max="4" width="15.421875" style="11" customWidth="1"/>
    <col min="5" max="5" width="25.8515625" style="11" customWidth="1"/>
    <col min="6" max="6" width="10.00390625" style="11" customWidth="1"/>
    <col min="7" max="7" width="4.28125" style="11" customWidth="1"/>
    <col min="8" max="8" width="11.140625" style="11" customWidth="1"/>
    <col min="9" max="9" width="14.140625" style="11" customWidth="1"/>
    <col min="10" max="10" width="1.8515625" style="11" customWidth="1"/>
    <col min="11" max="11" width="13.57421875" style="11" customWidth="1"/>
    <col min="12" max="12" width="13.7109375" style="11" customWidth="1"/>
    <col min="13" max="15" width="14.28125" style="11" customWidth="1"/>
    <col min="16" max="16" width="14.28125" style="12" customWidth="1"/>
    <col min="17" max="16384" width="9.140625" style="11" customWidth="1"/>
  </cols>
  <sheetData>
    <row r="1" spans="1:16" s="1" customFormat="1" ht="17.25" customHeight="1">
      <c r="A1" s="168" t="s">
        <v>35</v>
      </c>
      <c r="B1" s="168"/>
      <c r="C1" s="168"/>
      <c r="D1" s="168"/>
      <c r="E1" s="168"/>
      <c r="F1" s="168"/>
      <c r="G1" s="168"/>
      <c r="H1" s="168"/>
      <c r="P1" s="2"/>
    </row>
    <row r="2" spans="1:16" s="1" customFormat="1" ht="17.25" customHeight="1">
      <c r="A2" s="168" t="s">
        <v>54</v>
      </c>
      <c r="B2" s="168"/>
      <c r="C2" s="168"/>
      <c r="D2" s="168"/>
      <c r="E2" s="168"/>
      <c r="F2" s="168"/>
      <c r="G2" s="168"/>
      <c r="H2" s="168"/>
      <c r="P2" s="2"/>
    </row>
    <row r="3" spans="1:16" s="1" customFormat="1" ht="17.25" customHeight="1" thickBot="1">
      <c r="A3" s="169" t="s">
        <v>108</v>
      </c>
      <c r="B3" s="169"/>
      <c r="C3" s="169"/>
      <c r="D3" s="169"/>
      <c r="E3" s="169"/>
      <c r="F3" s="169"/>
      <c r="G3" s="169"/>
      <c r="H3" s="169"/>
      <c r="P3" s="2"/>
    </row>
    <row r="4" spans="1:16" s="1" customFormat="1" ht="15.75" customHeight="1" thickTop="1">
      <c r="A4" s="170" t="s">
        <v>46</v>
      </c>
      <c r="B4" s="171"/>
      <c r="C4" s="171"/>
      <c r="D4" s="172"/>
      <c r="E4" s="173" t="s">
        <v>18</v>
      </c>
      <c r="F4" s="128" t="s">
        <v>16</v>
      </c>
      <c r="G4" s="175"/>
      <c r="H4" s="176"/>
      <c r="P4" s="2"/>
    </row>
    <row r="5" spans="1:16" s="1" customFormat="1" ht="15.75" customHeight="1">
      <c r="A5" s="129" t="s">
        <v>32</v>
      </c>
      <c r="B5" s="116" t="s">
        <v>51</v>
      </c>
      <c r="C5" s="116" t="s">
        <v>47</v>
      </c>
      <c r="D5" s="41" t="s">
        <v>48</v>
      </c>
      <c r="E5" s="174"/>
      <c r="F5" s="42" t="s">
        <v>17</v>
      </c>
      <c r="G5" s="177" t="s">
        <v>68</v>
      </c>
      <c r="H5" s="178"/>
      <c r="P5" s="2"/>
    </row>
    <row r="6" spans="1:16" s="1" customFormat="1" ht="15.75" customHeight="1">
      <c r="A6" s="130" t="s">
        <v>53</v>
      </c>
      <c r="B6" s="42" t="s">
        <v>52</v>
      </c>
      <c r="C6" s="42" t="s">
        <v>49</v>
      </c>
      <c r="D6" s="41" t="s">
        <v>49</v>
      </c>
      <c r="E6" s="174"/>
      <c r="F6" s="130"/>
      <c r="G6" s="177" t="s">
        <v>69</v>
      </c>
      <c r="H6" s="178"/>
      <c r="P6" s="2"/>
    </row>
    <row r="7" spans="1:16" s="1" customFormat="1" ht="15.75" customHeight="1">
      <c r="A7" s="131"/>
      <c r="B7" s="122" t="s">
        <v>49</v>
      </c>
      <c r="C7" s="122"/>
      <c r="D7" s="123"/>
      <c r="E7" s="132"/>
      <c r="F7" s="131"/>
      <c r="G7" s="123"/>
      <c r="H7" s="133"/>
      <c r="P7" s="2"/>
    </row>
    <row r="8" spans="1:16" s="1" customFormat="1" ht="15.75" customHeight="1" thickBot="1">
      <c r="A8" s="30"/>
      <c r="B8" s="31"/>
      <c r="C8" s="32"/>
      <c r="D8" s="33">
        <v>49570735.76999998</v>
      </c>
      <c r="E8" s="28"/>
      <c r="F8" s="28"/>
      <c r="G8" s="158">
        <v>61386597.41</v>
      </c>
      <c r="H8" s="159"/>
      <c r="P8" s="2"/>
    </row>
    <row r="9" spans="1:16" s="1" customFormat="1" ht="15.75" customHeight="1" thickTop="1">
      <c r="A9" s="30"/>
      <c r="B9" s="26"/>
      <c r="C9" s="24"/>
      <c r="D9" s="34"/>
      <c r="E9" s="35" t="s">
        <v>55</v>
      </c>
      <c r="F9" s="28"/>
      <c r="G9" s="137"/>
      <c r="H9" s="138"/>
      <c r="I9" s="1" t="s">
        <v>31</v>
      </c>
      <c r="K9" s="1" t="s">
        <v>26</v>
      </c>
      <c r="P9" s="2"/>
    </row>
    <row r="10" spans="1:16" s="1" customFormat="1" ht="15.75" customHeight="1">
      <c r="A10" s="99">
        <v>806000</v>
      </c>
      <c r="B10" s="72">
        <v>0</v>
      </c>
      <c r="C10" s="37">
        <f aca="true" t="shared" si="0" ref="C10:C15">SUM(A10:B10)</f>
        <v>806000</v>
      </c>
      <c r="D10" s="38">
        <f aca="true" t="shared" si="1" ref="D10:D15">K10</f>
        <v>222920.59</v>
      </c>
      <c r="E10" s="24" t="s">
        <v>4</v>
      </c>
      <c r="F10" s="39" t="s">
        <v>79</v>
      </c>
      <c r="G10" s="139">
        <v>142435.97</v>
      </c>
      <c r="H10" s="140"/>
      <c r="I10" s="3">
        <v>80484.62</v>
      </c>
      <c r="J10" s="3"/>
      <c r="K10" s="2">
        <f aca="true" t="shared" si="2" ref="K10:K15">SUM(G10+I10)</f>
        <v>222920.59</v>
      </c>
      <c r="L10" s="2"/>
      <c r="P10" s="2"/>
    </row>
    <row r="11" spans="1:16" s="1" customFormat="1" ht="15.75" customHeight="1">
      <c r="A11" s="99">
        <v>414000</v>
      </c>
      <c r="B11" s="72">
        <v>0</v>
      </c>
      <c r="C11" s="37">
        <f t="shared" si="0"/>
        <v>414000</v>
      </c>
      <c r="D11" s="38">
        <f t="shared" si="1"/>
        <v>134854.09999999998</v>
      </c>
      <c r="E11" s="24" t="s">
        <v>5</v>
      </c>
      <c r="F11" s="39" t="s">
        <v>80</v>
      </c>
      <c r="G11" s="141">
        <v>27189</v>
      </c>
      <c r="H11" s="142"/>
      <c r="I11" s="3">
        <v>107665.09999999999</v>
      </c>
      <c r="J11" s="3"/>
      <c r="K11" s="2">
        <f t="shared" si="2"/>
        <v>134854.09999999998</v>
      </c>
      <c r="L11" s="2"/>
      <c r="P11" s="2"/>
    </row>
    <row r="12" spans="1:16" s="1" customFormat="1" ht="15.75" customHeight="1">
      <c r="A12" s="99">
        <v>1900000</v>
      </c>
      <c r="B12" s="72">
        <v>0</v>
      </c>
      <c r="C12" s="37">
        <f t="shared" si="0"/>
        <v>1900000</v>
      </c>
      <c r="D12" s="38">
        <f t="shared" si="1"/>
        <v>619738.5</v>
      </c>
      <c r="E12" s="24" t="s">
        <v>6</v>
      </c>
      <c r="F12" s="39" t="s">
        <v>81</v>
      </c>
      <c r="G12" s="141">
        <v>92672</v>
      </c>
      <c r="H12" s="142"/>
      <c r="I12" s="3">
        <v>527066.5</v>
      </c>
      <c r="J12" s="3"/>
      <c r="K12" s="2">
        <f t="shared" si="2"/>
        <v>619738.5</v>
      </c>
      <c r="L12" s="2"/>
      <c r="P12" s="2"/>
    </row>
    <row r="13" spans="1:16" s="1" customFormat="1" ht="15.75" customHeight="1">
      <c r="A13" s="99">
        <v>820000</v>
      </c>
      <c r="B13" s="72">
        <v>0</v>
      </c>
      <c r="C13" s="37">
        <f t="shared" si="0"/>
        <v>820000</v>
      </c>
      <c r="D13" s="38">
        <f t="shared" si="1"/>
        <v>235700</v>
      </c>
      <c r="E13" s="24" t="s">
        <v>7</v>
      </c>
      <c r="F13" s="39" t="s">
        <v>82</v>
      </c>
      <c r="G13" s="141">
        <v>24000</v>
      </c>
      <c r="H13" s="142"/>
      <c r="I13" s="3">
        <v>211700</v>
      </c>
      <c r="J13" s="3"/>
      <c r="K13" s="2">
        <f t="shared" si="2"/>
        <v>235700</v>
      </c>
      <c r="L13" s="2"/>
      <c r="P13" s="2"/>
    </row>
    <row r="14" spans="1:16" s="1" customFormat="1" ht="15.75" customHeight="1">
      <c r="A14" s="99">
        <v>32060000</v>
      </c>
      <c r="B14" s="72">
        <v>0</v>
      </c>
      <c r="C14" s="37">
        <f>SUM(A14:B14)</f>
        <v>32060000</v>
      </c>
      <c r="D14" s="38">
        <f t="shared" si="1"/>
        <v>12941378.64</v>
      </c>
      <c r="E14" s="24" t="s">
        <v>19</v>
      </c>
      <c r="F14" s="39" t="s">
        <v>83</v>
      </c>
      <c r="G14" s="141">
        <v>2686100.32</v>
      </c>
      <c r="H14" s="142"/>
      <c r="I14" s="3">
        <v>10255278.32</v>
      </c>
      <c r="J14" s="3"/>
      <c r="K14" s="2">
        <f t="shared" si="2"/>
        <v>12941378.64</v>
      </c>
      <c r="L14" s="2"/>
      <c r="P14" s="2"/>
    </row>
    <row r="15" spans="1:16" s="1" customFormat="1" ht="15.75" customHeight="1">
      <c r="A15" s="99">
        <v>46000000</v>
      </c>
      <c r="B15" s="72">
        <v>0</v>
      </c>
      <c r="C15" s="37">
        <f t="shared" si="0"/>
        <v>46000000</v>
      </c>
      <c r="D15" s="38">
        <f t="shared" si="1"/>
        <v>25330460</v>
      </c>
      <c r="E15" s="24" t="s">
        <v>40</v>
      </c>
      <c r="F15" s="39" t="s">
        <v>84</v>
      </c>
      <c r="G15" s="141">
        <v>1256600</v>
      </c>
      <c r="H15" s="142"/>
      <c r="I15" s="3">
        <v>24073860</v>
      </c>
      <c r="J15" s="3"/>
      <c r="K15" s="2">
        <f t="shared" si="2"/>
        <v>25330460</v>
      </c>
      <c r="L15" s="2"/>
      <c r="P15" s="2"/>
    </row>
    <row r="16" spans="1:16" s="1" customFormat="1" ht="15.75" customHeight="1">
      <c r="A16" s="100">
        <f>SUM(A10:A15)</f>
        <v>82000000</v>
      </c>
      <c r="B16" s="88"/>
      <c r="C16" s="55">
        <f>SUM(C10:C15)</f>
        <v>82000000</v>
      </c>
      <c r="D16" s="83">
        <f>SUM(D10:D15)</f>
        <v>39485051.83</v>
      </c>
      <c r="E16" s="85" t="s">
        <v>47</v>
      </c>
      <c r="F16" s="86"/>
      <c r="G16" s="143">
        <f>SUM(G10:G15)</f>
        <v>4228997.29</v>
      </c>
      <c r="H16" s="144"/>
      <c r="I16" s="4">
        <f>SUM(I10:I15)</f>
        <v>35256054.54</v>
      </c>
      <c r="K16" s="5">
        <f>SUM(K10:K15)</f>
        <v>39485051.83</v>
      </c>
      <c r="L16" s="5"/>
      <c r="P16" s="2"/>
    </row>
    <row r="17" spans="1:16" s="1" customFormat="1" ht="15.75" customHeight="1">
      <c r="A17" s="40"/>
      <c r="B17" s="41"/>
      <c r="C17" s="42"/>
      <c r="D17" s="87"/>
      <c r="E17" s="101" t="s">
        <v>100</v>
      </c>
      <c r="F17" s="39">
        <v>44100000</v>
      </c>
      <c r="G17" s="43"/>
      <c r="H17" s="44"/>
      <c r="I17" s="4"/>
      <c r="K17" s="5"/>
      <c r="L17" s="5"/>
      <c r="P17" s="2"/>
    </row>
    <row r="18" spans="1:16" s="1" customFormat="1" ht="15.75" customHeight="1">
      <c r="A18" s="30"/>
      <c r="B18" s="72">
        <f>12000+12000</f>
        <v>24000</v>
      </c>
      <c r="C18" s="60">
        <f>SUM(B18)</f>
        <v>24000</v>
      </c>
      <c r="D18" s="45">
        <f>K18</f>
        <v>24000</v>
      </c>
      <c r="E18" s="24" t="s">
        <v>67</v>
      </c>
      <c r="F18" s="39"/>
      <c r="G18" s="145">
        <v>12000</v>
      </c>
      <c r="H18" s="146"/>
      <c r="I18" s="3">
        <v>12000</v>
      </c>
      <c r="J18" s="3"/>
      <c r="K18" s="2">
        <f aca="true" t="shared" si="3" ref="K18:K50">SUM(G18+I18)</f>
        <v>24000</v>
      </c>
      <c r="L18" s="2"/>
      <c r="P18" s="2"/>
    </row>
    <row r="19" spans="1:16" s="1" customFormat="1" ht="15.75" customHeight="1">
      <c r="A19" s="30"/>
      <c r="B19" s="72">
        <v>24000</v>
      </c>
      <c r="C19" s="60">
        <f>SUM(B19)</f>
        <v>24000</v>
      </c>
      <c r="D19" s="45">
        <f>K19</f>
        <v>24000</v>
      </c>
      <c r="E19" s="24" t="s">
        <v>70</v>
      </c>
      <c r="F19" s="39"/>
      <c r="G19" s="145">
        <v>0</v>
      </c>
      <c r="H19" s="146"/>
      <c r="I19" s="3">
        <v>24000</v>
      </c>
      <c r="J19" s="3">
        <v>0</v>
      </c>
      <c r="K19" s="2">
        <f t="shared" si="3"/>
        <v>24000</v>
      </c>
      <c r="L19" s="2"/>
      <c r="P19" s="2"/>
    </row>
    <row r="20" spans="1:16" s="1" customFormat="1" ht="15.75" customHeight="1">
      <c r="A20" s="30"/>
      <c r="B20" s="72">
        <f>85932+85932</f>
        <v>171864</v>
      </c>
      <c r="C20" s="60">
        <f>SUM(B20)</f>
        <v>171864</v>
      </c>
      <c r="D20" s="45">
        <f>K20</f>
        <v>171864</v>
      </c>
      <c r="E20" s="24" t="s">
        <v>78</v>
      </c>
      <c r="F20" s="39"/>
      <c r="G20" s="141">
        <v>0</v>
      </c>
      <c r="H20" s="142"/>
      <c r="I20" s="3">
        <v>171864</v>
      </c>
      <c r="J20" s="3"/>
      <c r="K20" s="2">
        <f t="shared" si="3"/>
        <v>171864</v>
      </c>
      <c r="L20" s="2"/>
      <c r="P20" s="2"/>
    </row>
    <row r="21" spans="1:16" s="1" customFormat="1" ht="15.75" customHeight="1">
      <c r="A21" s="30"/>
      <c r="B21" s="72">
        <v>27000</v>
      </c>
      <c r="C21" s="60">
        <f>SUM(B21)</f>
        <v>27000</v>
      </c>
      <c r="D21" s="45">
        <f>K21</f>
        <v>27000</v>
      </c>
      <c r="E21" s="24" t="s">
        <v>107</v>
      </c>
      <c r="F21" s="39"/>
      <c r="G21" s="141">
        <v>0</v>
      </c>
      <c r="H21" s="142"/>
      <c r="I21" s="3">
        <v>27000</v>
      </c>
      <c r="J21" s="3"/>
      <c r="K21" s="2">
        <f t="shared" si="3"/>
        <v>27000</v>
      </c>
      <c r="L21" s="2"/>
      <c r="P21" s="2"/>
    </row>
    <row r="22" spans="1:16" s="1" customFormat="1" ht="15.75" customHeight="1">
      <c r="A22" s="30"/>
      <c r="B22" s="72"/>
      <c r="C22" s="60"/>
      <c r="D22" s="45"/>
      <c r="E22" s="24"/>
      <c r="F22" s="39"/>
      <c r="G22" s="141"/>
      <c r="H22" s="142"/>
      <c r="I22" s="3">
        <v>0</v>
      </c>
      <c r="J22" s="3"/>
      <c r="K22" s="2">
        <f t="shared" si="3"/>
        <v>0</v>
      </c>
      <c r="L22" s="2"/>
      <c r="P22" s="2"/>
    </row>
    <row r="23" spans="1:16" s="1" customFormat="1" ht="15.75" customHeight="1">
      <c r="A23" s="30"/>
      <c r="B23" s="72"/>
      <c r="C23" s="60"/>
      <c r="D23" s="45"/>
      <c r="E23" s="24"/>
      <c r="F23" s="39"/>
      <c r="G23" s="141"/>
      <c r="H23" s="142"/>
      <c r="I23" s="3">
        <v>0</v>
      </c>
      <c r="J23" s="3"/>
      <c r="K23" s="2">
        <f t="shared" si="3"/>
        <v>0</v>
      </c>
      <c r="L23" s="2"/>
      <c r="P23" s="2"/>
    </row>
    <row r="24" spans="1:16" s="1" customFormat="1" ht="15.75" customHeight="1">
      <c r="A24" s="30"/>
      <c r="B24" s="72"/>
      <c r="C24" s="60"/>
      <c r="D24" s="45"/>
      <c r="E24" s="24"/>
      <c r="F24" s="39"/>
      <c r="G24" s="38"/>
      <c r="H24" s="96"/>
      <c r="I24" s="3">
        <v>0</v>
      </c>
      <c r="J24" s="3"/>
      <c r="K24" s="2"/>
      <c r="L24" s="2"/>
      <c r="P24" s="2"/>
    </row>
    <row r="25" spans="1:16" s="1" customFormat="1" ht="15.75" customHeight="1">
      <c r="A25" s="30"/>
      <c r="B25" s="72"/>
      <c r="C25" s="60"/>
      <c r="D25" s="45"/>
      <c r="E25" s="24"/>
      <c r="F25" s="39"/>
      <c r="G25" s="38"/>
      <c r="H25" s="96"/>
      <c r="I25" s="3"/>
      <c r="J25" s="3"/>
      <c r="K25" s="2"/>
      <c r="L25" s="2"/>
      <c r="P25" s="2"/>
    </row>
    <row r="26" spans="1:16" s="1" customFormat="1" ht="15.75" customHeight="1">
      <c r="A26" s="30"/>
      <c r="B26" s="72"/>
      <c r="C26" s="60"/>
      <c r="D26" s="45"/>
      <c r="E26" s="24"/>
      <c r="F26" s="39"/>
      <c r="G26" s="38"/>
      <c r="H26" s="96"/>
      <c r="I26" s="3"/>
      <c r="J26" s="3"/>
      <c r="K26" s="2"/>
      <c r="L26" s="2"/>
      <c r="P26" s="2"/>
    </row>
    <row r="27" spans="1:16" s="1" customFormat="1" ht="15.75" customHeight="1">
      <c r="A27" s="30"/>
      <c r="B27" s="72"/>
      <c r="C27" s="60"/>
      <c r="D27" s="45"/>
      <c r="E27" s="24"/>
      <c r="F27" s="39"/>
      <c r="G27" s="38"/>
      <c r="H27" s="96"/>
      <c r="I27" s="3"/>
      <c r="J27" s="3"/>
      <c r="K27" s="2"/>
      <c r="L27" s="2"/>
      <c r="P27" s="2"/>
    </row>
    <row r="28" spans="1:16" s="1" customFormat="1" ht="15.75" customHeight="1">
      <c r="A28" s="30"/>
      <c r="B28" s="72"/>
      <c r="C28" s="60"/>
      <c r="D28" s="45"/>
      <c r="E28" s="24"/>
      <c r="F28" s="39"/>
      <c r="G28" s="38"/>
      <c r="H28" s="96"/>
      <c r="I28" s="3"/>
      <c r="J28" s="3"/>
      <c r="K28" s="2"/>
      <c r="L28" s="2"/>
      <c r="P28" s="2"/>
    </row>
    <row r="29" spans="1:16" s="1" customFormat="1" ht="15.75" customHeight="1">
      <c r="A29" s="30"/>
      <c r="B29" s="72"/>
      <c r="C29" s="60"/>
      <c r="D29" s="45"/>
      <c r="E29" s="24"/>
      <c r="F29" s="39"/>
      <c r="G29" s="38"/>
      <c r="H29" s="96"/>
      <c r="I29" s="3"/>
      <c r="J29" s="3"/>
      <c r="K29" s="2"/>
      <c r="L29" s="2"/>
      <c r="P29" s="2"/>
    </row>
    <row r="30" spans="1:16" s="1" customFormat="1" ht="15.75" customHeight="1">
      <c r="A30" s="30"/>
      <c r="B30" s="72"/>
      <c r="C30" s="60"/>
      <c r="D30" s="45"/>
      <c r="E30" s="24"/>
      <c r="F30" s="39"/>
      <c r="G30" s="141"/>
      <c r="H30" s="142"/>
      <c r="I30" s="3"/>
      <c r="J30" s="3"/>
      <c r="K30" s="2">
        <f t="shared" si="3"/>
        <v>0</v>
      </c>
      <c r="L30" s="2"/>
      <c r="P30" s="2"/>
    </row>
    <row r="31" spans="1:16" s="1" customFormat="1" ht="15.75" customHeight="1">
      <c r="A31" s="30"/>
      <c r="B31" s="72"/>
      <c r="C31" s="60"/>
      <c r="D31" s="45"/>
      <c r="E31" s="24"/>
      <c r="F31" s="39"/>
      <c r="G31" s="141"/>
      <c r="H31" s="142"/>
      <c r="I31" s="3"/>
      <c r="J31" s="3"/>
      <c r="K31" s="2">
        <f t="shared" si="3"/>
        <v>0</v>
      </c>
      <c r="L31" s="2"/>
      <c r="P31" s="2"/>
    </row>
    <row r="32" spans="1:16" s="1" customFormat="1" ht="15.75" customHeight="1">
      <c r="A32" s="30"/>
      <c r="B32" s="72"/>
      <c r="C32" s="60"/>
      <c r="D32" s="45"/>
      <c r="E32" s="24"/>
      <c r="F32" s="39"/>
      <c r="G32" s="141"/>
      <c r="H32" s="142"/>
      <c r="I32" s="3"/>
      <c r="J32" s="3"/>
      <c r="K32" s="2">
        <f t="shared" si="3"/>
        <v>0</v>
      </c>
      <c r="L32" s="2"/>
      <c r="P32" s="2"/>
    </row>
    <row r="33" spans="1:16" s="1" customFormat="1" ht="15.75" customHeight="1">
      <c r="A33" s="30"/>
      <c r="B33" s="72"/>
      <c r="C33" s="60"/>
      <c r="D33" s="45"/>
      <c r="E33" s="24"/>
      <c r="F33" s="39"/>
      <c r="G33" s="141"/>
      <c r="H33" s="142"/>
      <c r="I33" s="3"/>
      <c r="J33" s="3"/>
      <c r="K33" s="2">
        <f t="shared" si="3"/>
        <v>0</v>
      </c>
      <c r="L33" s="2"/>
      <c r="P33" s="2"/>
    </row>
    <row r="34" spans="1:16" s="1" customFormat="1" ht="15.75" customHeight="1">
      <c r="A34" s="30"/>
      <c r="B34" s="72"/>
      <c r="C34" s="60"/>
      <c r="D34" s="45"/>
      <c r="E34" s="24"/>
      <c r="F34" s="39"/>
      <c r="G34" s="141"/>
      <c r="H34" s="142"/>
      <c r="I34" s="3"/>
      <c r="J34" s="3"/>
      <c r="K34" s="2">
        <f t="shared" si="3"/>
        <v>0</v>
      </c>
      <c r="L34" s="2"/>
      <c r="P34" s="2"/>
    </row>
    <row r="35" spans="1:16" s="1" customFormat="1" ht="15.75" customHeight="1">
      <c r="A35" s="30"/>
      <c r="B35" s="72"/>
      <c r="C35" s="60"/>
      <c r="D35" s="45"/>
      <c r="E35" s="24"/>
      <c r="F35" s="39"/>
      <c r="G35" s="147"/>
      <c r="H35" s="148"/>
      <c r="I35" s="3"/>
      <c r="J35" s="3"/>
      <c r="K35" s="2">
        <f t="shared" si="3"/>
        <v>0</v>
      </c>
      <c r="L35" s="2"/>
      <c r="P35" s="2"/>
    </row>
    <row r="36" spans="1:16" s="1" customFormat="1" ht="15.75" customHeight="1">
      <c r="A36" s="84"/>
      <c r="B36" s="90">
        <f>SUM(B18:B35)</f>
        <v>246864</v>
      </c>
      <c r="C36" s="55">
        <f>SUM(C18:C35)</f>
        <v>246864</v>
      </c>
      <c r="D36" s="55">
        <f>SUM(D18:D35)</f>
        <v>246864</v>
      </c>
      <c r="E36" s="89"/>
      <c r="F36" s="86"/>
      <c r="G36" s="149">
        <f>SUM(G18:G35)</f>
        <v>12000</v>
      </c>
      <c r="H36" s="150"/>
      <c r="I36" s="3"/>
      <c r="J36" s="3"/>
      <c r="K36" s="2">
        <f t="shared" si="3"/>
        <v>12000</v>
      </c>
      <c r="L36" s="2"/>
      <c r="P36" s="2"/>
    </row>
    <row r="37" spans="1:16" s="93" customFormat="1" ht="15.75" customHeight="1" thickBot="1">
      <c r="A37" s="100">
        <f>A16</f>
        <v>82000000</v>
      </c>
      <c r="B37" s="90"/>
      <c r="C37" s="55"/>
      <c r="D37" s="47">
        <f>D16+D36</f>
        <v>39731915.83</v>
      </c>
      <c r="E37" s="85" t="s">
        <v>47</v>
      </c>
      <c r="F37" s="91"/>
      <c r="G37" s="143">
        <f>G16+G36</f>
        <v>4240997.29</v>
      </c>
      <c r="H37" s="144"/>
      <c r="I37" s="5"/>
      <c r="J37" s="5"/>
      <c r="K37" s="92">
        <f t="shared" si="3"/>
        <v>4240997.29</v>
      </c>
      <c r="L37" s="92"/>
      <c r="P37" s="92"/>
    </row>
    <row r="38" spans="1:16" s="1" customFormat="1" ht="15.75" customHeight="1" thickTop="1">
      <c r="A38" s="30"/>
      <c r="B38" s="25"/>
      <c r="C38" s="28"/>
      <c r="D38" s="48">
        <f>K38</f>
        <v>1873195.8599999999</v>
      </c>
      <c r="E38" s="27" t="s">
        <v>34</v>
      </c>
      <c r="F38" s="39">
        <v>21040000</v>
      </c>
      <c r="G38" s="141">
        <v>434717.17</v>
      </c>
      <c r="H38" s="142"/>
      <c r="I38" s="3">
        <v>1438478.69</v>
      </c>
      <c r="J38" s="3"/>
      <c r="K38" s="2">
        <f t="shared" si="3"/>
        <v>1873195.8599999999</v>
      </c>
      <c r="L38" s="2"/>
      <c r="P38" s="2"/>
    </row>
    <row r="39" spans="1:16" s="1" customFormat="1" ht="15.75" customHeight="1">
      <c r="A39" s="30"/>
      <c r="B39" s="25"/>
      <c r="C39" s="28"/>
      <c r="D39" s="45">
        <f aca="true" t="shared" si="4" ref="D39:D51">K39</f>
        <v>161010</v>
      </c>
      <c r="E39" s="27" t="s">
        <v>65</v>
      </c>
      <c r="F39" s="39">
        <v>11041000</v>
      </c>
      <c r="G39" s="141">
        <v>2800</v>
      </c>
      <c r="H39" s="142"/>
      <c r="I39" s="3">
        <v>158210</v>
      </c>
      <c r="J39" s="3"/>
      <c r="K39" s="2">
        <f t="shared" si="3"/>
        <v>161010</v>
      </c>
      <c r="L39" s="2"/>
      <c r="P39" s="2"/>
    </row>
    <row r="40" spans="1:16" s="1" customFormat="1" ht="15.75" customHeight="1">
      <c r="A40" s="30"/>
      <c r="B40" s="25"/>
      <c r="C40" s="28"/>
      <c r="D40" s="45">
        <f t="shared" si="4"/>
        <v>0</v>
      </c>
      <c r="E40" s="27" t="s">
        <v>30</v>
      </c>
      <c r="F40" s="39">
        <v>11047000</v>
      </c>
      <c r="G40" s="141">
        <v>0</v>
      </c>
      <c r="H40" s="142"/>
      <c r="I40" s="3">
        <v>0</v>
      </c>
      <c r="J40" s="3"/>
      <c r="K40" s="2">
        <f t="shared" si="3"/>
        <v>0</v>
      </c>
      <c r="L40" s="2"/>
      <c r="P40" s="2"/>
    </row>
    <row r="41" spans="1:16" s="1" customFormat="1" ht="15.75" customHeight="1">
      <c r="A41" s="30"/>
      <c r="B41" s="25"/>
      <c r="C41" s="28"/>
      <c r="D41" s="45">
        <f t="shared" si="4"/>
        <v>57288</v>
      </c>
      <c r="E41" s="27" t="s">
        <v>62</v>
      </c>
      <c r="F41" s="39">
        <v>19040000</v>
      </c>
      <c r="G41" s="141">
        <v>0</v>
      </c>
      <c r="H41" s="142"/>
      <c r="I41" s="3">
        <v>57288</v>
      </c>
      <c r="J41" s="3"/>
      <c r="K41" s="2">
        <f t="shared" si="3"/>
        <v>57288</v>
      </c>
      <c r="L41" s="2"/>
      <c r="P41" s="2"/>
    </row>
    <row r="42" spans="1:16" s="1" customFormat="1" ht="15.75" customHeight="1">
      <c r="A42" s="30"/>
      <c r="B42" s="25"/>
      <c r="C42" s="28"/>
      <c r="D42" s="45">
        <f t="shared" si="4"/>
        <v>3258.29</v>
      </c>
      <c r="E42" s="27" t="s">
        <v>36</v>
      </c>
      <c r="F42" s="39">
        <v>11043002</v>
      </c>
      <c r="G42" s="141">
        <v>1205.06</v>
      </c>
      <c r="H42" s="142"/>
      <c r="I42" s="3">
        <v>2053.23</v>
      </c>
      <c r="J42" s="3"/>
      <c r="K42" s="2">
        <f t="shared" si="3"/>
        <v>3258.29</v>
      </c>
      <c r="L42" s="2"/>
      <c r="P42" s="2"/>
    </row>
    <row r="43" spans="1:16" s="1" customFormat="1" ht="15.75" customHeight="1">
      <c r="A43" s="30"/>
      <c r="B43" s="25"/>
      <c r="C43" s="28"/>
      <c r="D43" s="45">
        <f t="shared" si="4"/>
        <v>34200</v>
      </c>
      <c r="E43" s="27" t="s">
        <v>95</v>
      </c>
      <c r="F43" s="39">
        <v>11069999</v>
      </c>
      <c r="G43" s="141"/>
      <c r="H43" s="142"/>
      <c r="I43" s="3">
        <v>34200</v>
      </c>
      <c r="J43" s="3"/>
      <c r="K43" s="2">
        <f t="shared" si="3"/>
        <v>34200</v>
      </c>
      <c r="L43" s="2"/>
      <c r="P43" s="2"/>
    </row>
    <row r="44" spans="1:16" s="1" customFormat="1" ht="15.75" customHeight="1">
      <c r="A44" s="30"/>
      <c r="B44" s="25"/>
      <c r="C44" s="28"/>
      <c r="D44" s="45">
        <f t="shared" si="4"/>
        <v>57288</v>
      </c>
      <c r="E44" s="27" t="s">
        <v>63</v>
      </c>
      <c r="F44" s="39">
        <v>29010000</v>
      </c>
      <c r="G44" s="141">
        <v>28644</v>
      </c>
      <c r="H44" s="142"/>
      <c r="I44" s="3">
        <v>28644</v>
      </c>
      <c r="J44" s="3"/>
      <c r="K44" s="2">
        <f t="shared" si="3"/>
        <v>57288</v>
      </c>
      <c r="L44" s="2"/>
      <c r="P44" s="2"/>
    </row>
    <row r="45" spans="1:16" s="1" customFormat="1" ht="15.75" customHeight="1">
      <c r="A45" s="30"/>
      <c r="B45" s="25"/>
      <c r="C45" s="28"/>
      <c r="D45" s="45">
        <f t="shared" si="4"/>
        <v>170000</v>
      </c>
      <c r="E45" s="27" t="s">
        <v>45</v>
      </c>
      <c r="F45" s="39">
        <v>11045000</v>
      </c>
      <c r="G45" s="141"/>
      <c r="H45" s="142"/>
      <c r="I45" s="3">
        <v>170000</v>
      </c>
      <c r="J45" s="3"/>
      <c r="K45" s="2">
        <f t="shared" si="3"/>
        <v>170000</v>
      </c>
      <c r="L45" s="2"/>
      <c r="P45" s="2"/>
    </row>
    <row r="46" spans="1:16" s="1" customFormat="1" ht="15.75" customHeight="1">
      <c r="A46" s="30"/>
      <c r="B46" s="25"/>
      <c r="C46" s="28"/>
      <c r="D46" s="45">
        <f t="shared" si="4"/>
        <v>2551825</v>
      </c>
      <c r="E46" s="27" t="s">
        <v>61</v>
      </c>
      <c r="F46" s="39">
        <v>11042000</v>
      </c>
      <c r="G46" s="141">
        <v>1500000</v>
      </c>
      <c r="H46" s="142"/>
      <c r="I46" s="3">
        <v>1051825</v>
      </c>
      <c r="J46" s="3"/>
      <c r="K46" s="2">
        <f t="shared" si="3"/>
        <v>2551825</v>
      </c>
      <c r="L46" s="2"/>
      <c r="P46" s="2"/>
    </row>
    <row r="47" spans="1:16" s="1" customFormat="1" ht="15.75" customHeight="1">
      <c r="A47" s="30"/>
      <c r="B47" s="25"/>
      <c r="C47" s="28"/>
      <c r="D47" s="45">
        <f t="shared" si="4"/>
        <v>0</v>
      </c>
      <c r="E47" s="27" t="s">
        <v>27</v>
      </c>
      <c r="F47" s="39">
        <v>21010000</v>
      </c>
      <c r="G47" s="141">
        <v>0</v>
      </c>
      <c r="H47" s="142"/>
      <c r="I47" s="3">
        <v>0</v>
      </c>
      <c r="J47" s="3"/>
      <c r="K47" s="2">
        <f t="shared" si="3"/>
        <v>0</v>
      </c>
      <c r="L47" s="2"/>
      <c r="P47" s="2"/>
    </row>
    <row r="48" spans="1:16" s="1" customFormat="1" ht="15.75" customHeight="1">
      <c r="A48" s="30"/>
      <c r="B48" s="25"/>
      <c r="C48" s="28"/>
      <c r="D48" s="45">
        <f t="shared" si="4"/>
        <v>0</v>
      </c>
      <c r="E48" s="27" t="s">
        <v>38</v>
      </c>
      <c r="F48" s="39">
        <v>21030000</v>
      </c>
      <c r="G48" s="141">
        <v>0</v>
      </c>
      <c r="H48" s="142"/>
      <c r="I48" s="3">
        <v>0</v>
      </c>
      <c r="J48" s="3"/>
      <c r="K48" s="2">
        <f t="shared" si="3"/>
        <v>0</v>
      </c>
      <c r="L48" s="2"/>
      <c r="P48" s="2"/>
    </row>
    <row r="49" spans="1:16" s="1" customFormat="1" ht="15.75" customHeight="1">
      <c r="A49" s="30"/>
      <c r="B49" s="25"/>
      <c r="C49" s="28"/>
      <c r="D49" s="45">
        <f t="shared" si="4"/>
        <v>29563</v>
      </c>
      <c r="E49" s="27" t="s">
        <v>66</v>
      </c>
      <c r="F49" s="39">
        <v>21040016</v>
      </c>
      <c r="G49" s="141"/>
      <c r="H49" s="142"/>
      <c r="I49" s="3">
        <v>29563</v>
      </c>
      <c r="J49" s="3"/>
      <c r="K49" s="2">
        <f t="shared" si="3"/>
        <v>29563</v>
      </c>
      <c r="L49" s="2"/>
      <c r="P49" s="2"/>
    </row>
    <row r="50" spans="1:16" s="1" customFormat="1" ht="15.75" customHeight="1">
      <c r="A50" s="30"/>
      <c r="B50" s="25"/>
      <c r="C50" s="28"/>
      <c r="D50" s="45">
        <f t="shared" si="4"/>
        <v>0</v>
      </c>
      <c r="E50" s="26" t="s">
        <v>15</v>
      </c>
      <c r="F50" s="39">
        <v>31000000</v>
      </c>
      <c r="G50" s="141">
        <v>0</v>
      </c>
      <c r="H50" s="142"/>
      <c r="I50" s="3">
        <v>0</v>
      </c>
      <c r="J50" s="3"/>
      <c r="K50" s="2">
        <f t="shared" si="3"/>
        <v>0</v>
      </c>
      <c r="L50" s="2"/>
      <c r="P50" s="2"/>
    </row>
    <row r="51" spans="1:16" s="1" customFormat="1" ht="15.75" customHeight="1">
      <c r="A51" s="30"/>
      <c r="B51" s="26"/>
      <c r="C51" s="24"/>
      <c r="D51" s="45">
        <f t="shared" si="4"/>
        <v>0</v>
      </c>
      <c r="E51" s="27" t="s">
        <v>42</v>
      </c>
      <c r="F51" s="39">
        <v>32000000</v>
      </c>
      <c r="G51" s="151">
        <v>0</v>
      </c>
      <c r="H51" s="152"/>
      <c r="I51" s="3">
        <v>0</v>
      </c>
      <c r="J51" s="3"/>
      <c r="K51" s="2">
        <f>G51+I51</f>
        <v>0</v>
      </c>
      <c r="L51" s="2"/>
      <c r="P51" s="2"/>
    </row>
    <row r="52" spans="1:16" s="1" customFormat="1" ht="15.75" customHeight="1">
      <c r="A52" s="30"/>
      <c r="B52" s="26"/>
      <c r="C52" s="24"/>
      <c r="D52" s="49">
        <f>SUM(D38:D51)</f>
        <v>4937628.15</v>
      </c>
      <c r="E52" s="24"/>
      <c r="F52" s="50"/>
      <c r="G52" s="153">
        <f>SUM(G38:G51)</f>
        <v>1967366.23</v>
      </c>
      <c r="H52" s="154"/>
      <c r="I52" s="3">
        <f>SUM(I38:I51)</f>
        <v>2970261.92</v>
      </c>
      <c r="K52" s="6">
        <f>SUM(K18:K50)</f>
        <v>9437489.440000001</v>
      </c>
      <c r="L52" s="6"/>
      <c r="P52" s="2"/>
    </row>
    <row r="53" spans="1:16" s="1" customFormat="1" ht="15.75" customHeight="1">
      <c r="A53" s="100">
        <f>A37</f>
        <v>82000000</v>
      </c>
      <c r="B53" s="94">
        <f>SUM(B37)</f>
        <v>0</v>
      </c>
      <c r="C53" s="94">
        <f>SUM(C37)</f>
        <v>0</v>
      </c>
      <c r="D53" s="51">
        <f>D16+D36+D52</f>
        <v>44669543.98</v>
      </c>
      <c r="E53" s="42" t="s">
        <v>25</v>
      </c>
      <c r="F53" s="50"/>
      <c r="G53" s="153">
        <f>G16+G36+G52</f>
        <v>6208363.52</v>
      </c>
      <c r="H53" s="154"/>
      <c r="P53" s="2"/>
    </row>
    <row r="54" spans="1:16" s="1" customFormat="1" ht="15.75" customHeight="1">
      <c r="A54" s="108"/>
      <c r="B54" s="109"/>
      <c r="C54" s="109"/>
      <c r="D54" s="110"/>
      <c r="E54" s="41"/>
      <c r="F54" s="50"/>
      <c r="G54" s="111"/>
      <c r="H54" s="111"/>
      <c r="P54" s="2"/>
    </row>
    <row r="55" spans="1:10" ht="18" customHeight="1">
      <c r="A55" s="155" t="s">
        <v>28</v>
      </c>
      <c r="B55" s="155"/>
      <c r="C55" s="155"/>
      <c r="D55" s="155"/>
      <c r="E55" s="155"/>
      <c r="F55" s="155"/>
      <c r="G55" s="155"/>
      <c r="H55" s="155"/>
      <c r="I55" s="13"/>
      <c r="J55" s="13"/>
    </row>
    <row r="56" spans="1:16" s="1" customFormat="1" ht="15" customHeight="1">
      <c r="A56" s="179" t="s">
        <v>0</v>
      </c>
      <c r="B56" s="180"/>
      <c r="C56" s="180"/>
      <c r="D56" s="180"/>
      <c r="E56" s="181" t="s">
        <v>1</v>
      </c>
      <c r="F56" s="112"/>
      <c r="G56" s="113" t="s">
        <v>2</v>
      </c>
      <c r="H56" s="114"/>
      <c r="P56" s="2"/>
    </row>
    <row r="57" spans="1:16" s="1" customFormat="1" ht="13.5" customHeight="1">
      <c r="A57" s="115"/>
      <c r="B57" s="116" t="s">
        <v>57</v>
      </c>
      <c r="C57" s="116" t="s">
        <v>47</v>
      </c>
      <c r="D57" s="41" t="s">
        <v>48</v>
      </c>
      <c r="E57" s="182"/>
      <c r="F57" s="127" t="s">
        <v>98</v>
      </c>
      <c r="G57" s="184" t="s">
        <v>48</v>
      </c>
      <c r="H57" s="185"/>
      <c r="P57" s="2"/>
    </row>
    <row r="58" spans="1:16" s="1" customFormat="1" ht="13.5" customHeight="1">
      <c r="A58" s="119" t="s">
        <v>43</v>
      </c>
      <c r="B58" s="120" t="s">
        <v>58</v>
      </c>
      <c r="C58" s="42" t="s">
        <v>49</v>
      </c>
      <c r="D58" s="41" t="s">
        <v>49</v>
      </c>
      <c r="E58" s="182"/>
      <c r="F58" s="127" t="s">
        <v>99</v>
      </c>
      <c r="G58" s="117"/>
      <c r="H58" s="118"/>
      <c r="P58" s="2"/>
    </row>
    <row r="59" spans="1:16" s="1" customFormat="1" ht="13.5" customHeight="1" thickBot="1">
      <c r="A59" s="121" t="s">
        <v>49</v>
      </c>
      <c r="B59" s="122" t="s">
        <v>50</v>
      </c>
      <c r="C59" s="122"/>
      <c r="D59" s="123"/>
      <c r="E59" s="183"/>
      <c r="F59" s="124"/>
      <c r="G59" s="125" t="s">
        <v>3</v>
      </c>
      <c r="H59" s="126"/>
      <c r="P59" s="2"/>
    </row>
    <row r="60" spans="1:16" s="1" customFormat="1" ht="19.5" customHeight="1" thickTop="1">
      <c r="A60" s="74"/>
      <c r="B60" s="24"/>
      <c r="C60" s="26"/>
      <c r="D60" s="36"/>
      <c r="E60" s="35" t="s">
        <v>56</v>
      </c>
      <c r="F60" s="39"/>
      <c r="G60" s="137"/>
      <c r="H60" s="138"/>
      <c r="I60" s="1" t="s">
        <v>31</v>
      </c>
      <c r="K60" s="1" t="s">
        <v>26</v>
      </c>
      <c r="L60" s="7" t="s">
        <v>44</v>
      </c>
      <c r="P60" s="2"/>
    </row>
    <row r="61" spans="1:16" s="1" customFormat="1" ht="19.5" customHeight="1">
      <c r="A61" s="46">
        <v>19521070</v>
      </c>
      <c r="B61" s="70">
        <f>85932+85932</f>
        <v>171864</v>
      </c>
      <c r="C61" s="69">
        <f>SUM(A61:B61)</f>
        <v>19692934</v>
      </c>
      <c r="D61" s="38">
        <f>K61</f>
        <v>8146778</v>
      </c>
      <c r="E61" s="24" t="s">
        <v>29</v>
      </c>
      <c r="F61" s="39" t="s">
        <v>85</v>
      </c>
      <c r="G61" s="141">
        <f>1666975+28644</f>
        <v>1695619</v>
      </c>
      <c r="H61" s="142"/>
      <c r="I61" s="3">
        <v>6451159</v>
      </c>
      <c r="J61" s="3"/>
      <c r="K61" s="8">
        <f aca="true" t="shared" si="5" ref="K61:K71">G61+I61</f>
        <v>8146778</v>
      </c>
      <c r="L61" s="9">
        <f>C61-D61</f>
        <v>11546156</v>
      </c>
      <c r="P61" s="2"/>
    </row>
    <row r="62" spans="1:16" s="1" customFormat="1" ht="19.5" customHeight="1">
      <c r="A62" s="46">
        <v>3598300</v>
      </c>
      <c r="B62" s="70">
        <v>0</v>
      </c>
      <c r="C62" s="69">
        <f aca="true" t="shared" si="6" ref="C62:C71">SUM(A62:B62)</f>
        <v>3598300</v>
      </c>
      <c r="D62" s="38">
        <f aca="true" t="shared" si="7" ref="D62:D68">K62</f>
        <v>1499250</v>
      </c>
      <c r="E62" s="24" t="s">
        <v>76</v>
      </c>
      <c r="F62" s="39" t="s">
        <v>86</v>
      </c>
      <c r="G62" s="141">
        <v>299850</v>
      </c>
      <c r="H62" s="142"/>
      <c r="I62" s="3">
        <v>1199400</v>
      </c>
      <c r="J62" s="3"/>
      <c r="K62" s="8">
        <f t="shared" si="5"/>
        <v>1499250</v>
      </c>
      <c r="L62" s="9">
        <f aca="true" t="shared" si="8" ref="L62:L71">C62-D62</f>
        <v>2099050</v>
      </c>
      <c r="P62" s="2"/>
    </row>
    <row r="63" spans="1:16" s="1" customFormat="1" ht="19.5" customHeight="1">
      <c r="A63" s="45">
        <f>6538000+2380100+697900+8345300+3170100</f>
        <v>21131400</v>
      </c>
      <c r="B63" s="70">
        <v>0</v>
      </c>
      <c r="C63" s="69">
        <f t="shared" si="6"/>
        <v>21131400</v>
      </c>
      <c r="D63" s="38">
        <f t="shared" si="7"/>
        <v>7061395.08</v>
      </c>
      <c r="E63" s="24" t="s">
        <v>77</v>
      </c>
      <c r="F63" s="39" t="s">
        <v>87</v>
      </c>
      <c r="G63" s="141">
        <f>801735+607352.42</f>
        <v>1409087.42</v>
      </c>
      <c r="H63" s="142"/>
      <c r="I63" s="3">
        <v>5652307.66</v>
      </c>
      <c r="J63" s="3"/>
      <c r="K63" s="8">
        <f t="shared" si="5"/>
        <v>7061395.08</v>
      </c>
      <c r="L63" s="9">
        <f t="shared" si="8"/>
        <v>14070004.92</v>
      </c>
      <c r="P63" s="2"/>
    </row>
    <row r="64" spans="1:16" s="1" customFormat="1" ht="19.5" customHeight="1">
      <c r="A64" s="46">
        <f>447200+370000+195000+96000+174000</f>
        <v>1282200</v>
      </c>
      <c r="B64" s="70">
        <f>12000+24000</f>
        <v>36000</v>
      </c>
      <c r="C64" s="69">
        <f t="shared" si="6"/>
        <v>1318200</v>
      </c>
      <c r="D64" s="38">
        <f t="shared" si="7"/>
        <v>364970</v>
      </c>
      <c r="E64" s="24" t="s">
        <v>9</v>
      </c>
      <c r="F64" s="39" t="s">
        <v>88</v>
      </c>
      <c r="G64" s="141">
        <f>55690</f>
        <v>55690</v>
      </c>
      <c r="H64" s="142"/>
      <c r="I64" s="3">
        <v>309280</v>
      </c>
      <c r="J64" s="3"/>
      <c r="K64" s="8">
        <f t="shared" si="5"/>
        <v>364970</v>
      </c>
      <c r="L64" s="9">
        <f t="shared" si="8"/>
        <v>953230</v>
      </c>
      <c r="P64" s="2"/>
    </row>
    <row r="65" spans="1:16" s="1" customFormat="1" ht="19.5" customHeight="1">
      <c r="A65" s="46">
        <f>2969000+630000+1315000+360000+3572450+837000+280000+150000+140000+30000</f>
        <v>10283450</v>
      </c>
      <c r="B65" s="70">
        <v>0</v>
      </c>
      <c r="C65" s="69">
        <f t="shared" si="6"/>
        <v>10283450</v>
      </c>
      <c r="D65" s="38">
        <f t="shared" si="7"/>
        <v>2779086.08</v>
      </c>
      <c r="E65" s="24" t="s">
        <v>10</v>
      </c>
      <c r="F65" s="39" t="s">
        <v>89</v>
      </c>
      <c r="G65" s="141">
        <f>2800+333628.95</f>
        <v>336428.95</v>
      </c>
      <c r="H65" s="142"/>
      <c r="I65" s="3">
        <v>2442657.13</v>
      </c>
      <c r="J65" s="3"/>
      <c r="K65" s="8">
        <f t="shared" si="5"/>
        <v>2779086.08</v>
      </c>
      <c r="L65" s="9">
        <f t="shared" si="8"/>
        <v>7504363.92</v>
      </c>
      <c r="P65" s="2"/>
    </row>
    <row r="66" spans="1:16" s="1" customFormat="1" ht="19.5" customHeight="1">
      <c r="A66" s="46">
        <f>1095000+265000+250000+389500+2608000+1420000</f>
        <v>6027500</v>
      </c>
      <c r="B66" s="70">
        <v>0</v>
      </c>
      <c r="C66" s="69">
        <f t="shared" si="6"/>
        <v>6027500</v>
      </c>
      <c r="D66" s="38">
        <f t="shared" si="7"/>
        <v>758692.9</v>
      </c>
      <c r="E66" s="24" t="s">
        <v>11</v>
      </c>
      <c r="F66" s="39" t="s">
        <v>90</v>
      </c>
      <c r="G66" s="141">
        <v>271558.9</v>
      </c>
      <c r="H66" s="142"/>
      <c r="I66" s="3">
        <v>487134</v>
      </c>
      <c r="J66" s="3"/>
      <c r="K66" s="8">
        <f t="shared" si="5"/>
        <v>758692.9</v>
      </c>
      <c r="L66" s="9">
        <f t="shared" si="8"/>
        <v>5268807.1</v>
      </c>
      <c r="P66" s="2"/>
    </row>
    <row r="67" spans="1:16" s="1" customFormat="1" ht="19.5" customHeight="1">
      <c r="A67" s="46">
        <f>695000+298000+71000</f>
        <v>1064000</v>
      </c>
      <c r="B67" s="70">
        <v>0</v>
      </c>
      <c r="C67" s="69">
        <f t="shared" si="6"/>
        <v>1064000</v>
      </c>
      <c r="D67" s="38">
        <f t="shared" si="7"/>
        <v>348082.77</v>
      </c>
      <c r="E67" s="24" t="s">
        <v>12</v>
      </c>
      <c r="F67" s="39" t="s">
        <v>91</v>
      </c>
      <c r="G67" s="156">
        <v>133452.28</v>
      </c>
      <c r="H67" s="157"/>
      <c r="I67" s="3">
        <v>214630.49</v>
      </c>
      <c r="J67" s="3"/>
      <c r="K67" s="8">
        <f t="shared" si="5"/>
        <v>348082.77</v>
      </c>
      <c r="L67" s="9">
        <f t="shared" si="8"/>
        <v>715917.23</v>
      </c>
      <c r="P67" s="2"/>
    </row>
    <row r="68" spans="1:16" s="1" customFormat="1" ht="19.5" customHeight="1">
      <c r="A68" s="97">
        <f>320000+3928000+51080+400000+30000</f>
        <v>4729080</v>
      </c>
      <c r="B68" s="70">
        <v>0</v>
      </c>
      <c r="C68" s="69">
        <f t="shared" si="6"/>
        <v>4729080</v>
      </c>
      <c r="D68" s="38">
        <f t="shared" si="7"/>
        <v>1911000</v>
      </c>
      <c r="E68" s="24" t="s">
        <v>8</v>
      </c>
      <c r="F68" s="39" t="s">
        <v>92</v>
      </c>
      <c r="G68" s="139">
        <v>0</v>
      </c>
      <c r="H68" s="140"/>
      <c r="I68" s="3">
        <v>1911000</v>
      </c>
      <c r="J68" s="3"/>
      <c r="K68" s="8">
        <f t="shared" si="5"/>
        <v>1911000</v>
      </c>
      <c r="L68" s="9">
        <f t="shared" si="8"/>
        <v>2818080</v>
      </c>
      <c r="P68" s="2"/>
    </row>
    <row r="69" spans="1:16" s="1" customFormat="1" ht="19.5" customHeight="1">
      <c r="A69" s="45">
        <f>651600+139700+302600+316000+4125100</f>
        <v>5535000</v>
      </c>
      <c r="B69" s="70">
        <v>27000</v>
      </c>
      <c r="C69" s="69">
        <f t="shared" si="6"/>
        <v>5562000</v>
      </c>
      <c r="D69" s="38">
        <f>K69</f>
        <v>88000</v>
      </c>
      <c r="E69" s="24" t="s">
        <v>13</v>
      </c>
      <c r="F69" s="39" t="s">
        <v>93</v>
      </c>
      <c r="G69" s="141">
        <f>61000</f>
        <v>61000</v>
      </c>
      <c r="H69" s="142"/>
      <c r="I69" s="3">
        <v>27000</v>
      </c>
      <c r="J69" s="3"/>
      <c r="K69" s="8">
        <f t="shared" si="5"/>
        <v>88000</v>
      </c>
      <c r="L69" s="9">
        <f t="shared" si="8"/>
        <v>5474000</v>
      </c>
      <c r="P69" s="2"/>
    </row>
    <row r="70" spans="1:16" s="1" customFormat="1" ht="19.5" customHeight="1">
      <c r="A70" s="98">
        <f>450000+8378000</f>
        <v>8828000</v>
      </c>
      <c r="B70" s="70">
        <v>0</v>
      </c>
      <c r="C70" s="69">
        <f t="shared" si="6"/>
        <v>8828000</v>
      </c>
      <c r="D70" s="38">
        <f>K70</f>
        <v>0</v>
      </c>
      <c r="E70" s="24" t="s">
        <v>14</v>
      </c>
      <c r="F70" s="39">
        <v>54200000</v>
      </c>
      <c r="G70" s="141">
        <v>0</v>
      </c>
      <c r="H70" s="142"/>
      <c r="I70" s="3">
        <v>0</v>
      </c>
      <c r="J70" s="3"/>
      <c r="K70" s="8">
        <f t="shared" si="5"/>
        <v>0</v>
      </c>
      <c r="L70" s="9">
        <f t="shared" si="8"/>
        <v>8828000</v>
      </c>
      <c r="P70" s="2"/>
    </row>
    <row r="71" spans="1:16" s="1" customFormat="1" ht="19.5" customHeight="1">
      <c r="A71" s="98">
        <v>0</v>
      </c>
      <c r="B71" s="70">
        <v>0</v>
      </c>
      <c r="C71" s="69">
        <f t="shared" si="6"/>
        <v>0</v>
      </c>
      <c r="D71" s="38">
        <f>K71</f>
        <v>0</v>
      </c>
      <c r="E71" s="31" t="s">
        <v>94</v>
      </c>
      <c r="F71" s="39">
        <v>55000000</v>
      </c>
      <c r="G71" s="147">
        <v>0</v>
      </c>
      <c r="H71" s="148"/>
      <c r="I71" s="3">
        <v>0</v>
      </c>
      <c r="J71" s="3"/>
      <c r="K71" s="8">
        <f t="shared" si="5"/>
        <v>0</v>
      </c>
      <c r="L71" s="9">
        <f t="shared" si="8"/>
        <v>0</v>
      </c>
      <c r="P71" s="2"/>
    </row>
    <row r="72" spans="1:16" s="1" customFormat="1" ht="19.5" customHeight="1" thickBot="1">
      <c r="A72" s="75"/>
      <c r="B72" s="42"/>
      <c r="C72" s="52"/>
      <c r="D72" s="53">
        <f>SUM(D60:D70)</f>
        <v>22957254.829999994</v>
      </c>
      <c r="E72" s="31"/>
      <c r="F72" s="28"/>
      <c r="G72" s="158">
        <f>SUM(G60:G70)</f>
        <v>4262686.55</v>
      </c>
      <c r="H72" s="159"/>
      <c r="I72" s="4">
        <f>SUM(I61:I71)</f>
        <v>18694568.28</v>
      </c>
      <c r="K72" s="3"/>
      <c r="L72" s="3">
        <f>SUM(L61:L70)</f>
        <v>59277609.17</v>
      </c>
      <c r="P72" s="2"/>
    </row>
    <row r="73" spans="1:16" s="1" customFormat="1" ht="19.5" customHeight="1" thickTop="1">
      <c r="A73" s="30"/>
      <c r="B73" s="24"/>
      <c r="C73" s="27"/>
      <c r="D73" s="45">
        <f>K73</f>
        <v>0</v>
      </c>
      <c r="E73" s="27" t="s">
        <v>15</v>
      </c>
      <c r="F73" s="28">
        <v>31000000</v>
      </c>
      <c r="G73" s="151">
        <v>0</v>
      </c>
      <c r="H73" s="152"/>
      <c r="I73" s="3">
        <v>0</v>
      </c>
      <c r="J73" s="3"/>
      <c r="K73" s="2">
        <f aca="true" t="shared" si="9" ref="K73:K86">G73+I73</f>
        <v>0</v>
      </c>
      <c r="L73" s="2"/>
      <c r="P73" s="2"/>
    </row>
    <row r="74" spans="1:16" s="1" customFormat="1" ht="19.5" customHeight="1">
      <c r="A74" s="30"/>
      <c r="B74" s="24"/>
      <c r="C74" s="27"/>
      <c r="D74" s="45">
        <f>K74</f>
        <v>57288</v>
      </c>
      <c r="E74" s="27" t="s">
        <v>63</v>
      </c>
      <c r="F74" s="28">
        <v>29010000</v>
      </c>
      <c r="G74" s="151">
        <v>0</v>
      </c>
      <c r="H74" s="152"/>
      <c r="I74" s="3">
        <v>57288</v>
      </c>
      <c r="J74" s="3"/>
      <c r="K74" s="2">
        <f t="shared" si="9"/>
        <v>57288</v>
      </c>
      <c r="L74" s="2"/>
      <c r="P74" s="2"/>
    </row>
    <row r="75" spans="1:16" s="1" customFormat="1" ht="19.5" customHeight="1">
      <c r="A75" s="30"/>
      <c r="B75" s="24"/>
      <c r="C75" s="27"/>
      <c r="D75" s="45">
        <f aca="true" t="shared" si="10" ref="D75:D86">K75</f>
        <v>157910</v>
      </c>
      <c r="E75" s="27" t="s">
        <v>65</v>
      </c>
      <c r="F75" s="39">
        <v>11041000</v>
      </c>
      <c r="G75" s="151"/>
      <c r="H75" s="152"/>
      <c r="I75" s="3">
        <v>157910</v>
      </c>
      <c r="J75" s="3"/>
      <c r="K75" s="2">
        <f t="shared" si="9"/>
        <v>157910</v>
      </c>
      <c r="L75" s="2">
        <v>25968108</v>
      </c>
      <c r="P75" s="2"/>
    </row>
    <row r="76" spans="1:16" s="1" customFormat="1" ht="19.5" customHeight="1">
      <c r="A76" s="30"/>
      <c r="B76" s="24"/>
      <c r="C76" s="27"/>
      <c r="D76" s="45">
        <f t="shared" si="10"/>
        <v>0</v>
      </c>
      <c r="E76" s="27" t="s">
        <v>30</v>
      </c>
      <c r="F76" s="39">
        <v>11047000</v>
      </c>
      <c r="G76" s="151">
        <v>0</v>
      </c>
      <c r="H76" s="152"/>
      <c r="I76" s="3">
        <v>0</v>
      </c>
      <c r="J76" s="3"/>
      <c r="K76" s="2">
        <f t="shared" si="9"/>
        <v>0</v>
      </c>
      <c r="L76" s="2" t="e">
        <f>#REF!-L75</f>
        <v>#REF!</v>
      </c>
      <c r="P76" s="2"/>
    </row>
    <row r="77" spans="1:16" s="1" customFormat="1" ht="19.5" customHeight="1">
      <c r="A77" s="30"/>
      <c r="B77" s="24"/>
      <c r="C77" s="26"/>
      <c r="D77" s="45">
        <f t="shared" si="10"/>
        <v>0</v>
      </c>
      <c r="E77" s="24" t="s">
        <v>36</v>
      </c>
      <c r="F77" s="39">
        <v>11043002</v>
      </c>
      <c r="G77" s="151">
        <v>0</v>
      </c>
      <c r="H77" s="152"/>
      <c r="I77" s="3">
        <v>0</v>
      </c>
      <c r="J77" s="3"/>
      <c r="K77" s="2">
        <f t="shared" si="9"/>
        <v>0</v>
      </c>
      <c r="L77" s="2"/>
      <c r="P77" s="2"/>
    </row>
    <row r="78" spans="1:16" s="1" customFormat="1" ht="19.5" customHeight="1">
      <c r="A78" s="30"/>
      <c r="B78" s="24"/>
      <c r="C78" s="26"/>
      <c r="D78" s="45">
        <f t="shared" si="10"/>
        <v>0</v>
      </c>
      <c r="E78" s="24" t="s">
        <v>39</v>
      </c>
      <c r="F78" s="39">
        <v>11043003</v>
      </c>
      <c r="G78" s="151">
        <v>0</v>
      </c>
      <c r="H78" s="152"/>
      <c r="I78" s="3">
        <v>0</v>
      </c>
      <c r="J78" s="3"/>
      <c r="K78" s="2">
        <f t="shared" si="9"/>
        <v>0</v>
      </c>
      <c r="L78" s="2"/>
      <c r="P78" s="2"/>
    </row>
    <row r="79" spans="1:16" s="1" customFormat="1" ht="19.5" customHeight="1">
      <c r="A79" s="30"/>
      <c r="B79" s="24"/>
      <c r="C79" s="26"/>
      <c r="D79" s="45">
        <f t="shared" si="10"/>
        <v>0</v>
      </c>
      <c r="E79" s="27" t="s">
        <v>45</v>
      </c>
      <c r="F79" s="39">
        <v>11045000</v>
      </c>
      <c r="G79" s="151">
        <v>0</v>
      </c>
      <c r="H79" s="152"/>
      <c r="I79" s="3">
        <v>0</v>
      </c>
      <c r="J79" s="3"/>
      <c r="K79" s="2">
        <f t="shared" si="9"/>
        <v>0</v>
      </c>
      <c r="L79" s="2"/>
      <c r="P79" s="2"/>
    </row>
    <row r="80" spans="1:16" s="1" customFormat="1" ht="19.5" customHeight="1">
      <c r="A80" s="30"/>
      <c r="B80" s="24"/>
      <c r="C80" s="26"/>
      <c r="D80" s="45">
        <f t="shared" si="10"/>
        <v>57288</v>
      </c>
      <c r="E80" s="24" t="s">
        <v>62</v>
      </c>
      <c r="F80" s="39">
        <v>19040000</v>
      </c>
      <c r="G80" s="151">
        <v>28644</v>
      </c>
      <c r="H80" s="152"/>
      <c r="I80" s="3">
        <v>28644</v>
      </c>
      <c r="J80" s="3"/>
      <c r="K80" s="2">
        <f t="shared" si="9"/>
        <v>57288</v>
      </c>
      <c r="L80" s="2"/>
      <c r="P80" s="2"/>
    </row>
    <row r="81" spans="1:16" s="1" customFormat="1" ht="15.75" customHeight="1">
      <c r="A81" s="30"/>
      <c r="B81" s="25"/>
      <c r="C81" s="28"/>
      <c r="D81" s="45">
        <f>K81</f>
        <v>0</v>
      </c>
      <c r="E81" s="27" t="s">
        <v>95</v>
      </c>
      <c r="F81" s="39">
        <v>11069999</v>
      </c>
      <c r="G81" s="141">
        <v>0</v>
      </c>
      <c r="H81" s="142"/>
      <c r="I81" s="3">
        <v>0</v>
      </c>
      <c r="J81" s="3"/>
      <c r="K81" s="2">
        <f>SUM(G81+I81)</f>
        <v>0</v>
      </c>
      <c r="L81" s="2"/>
      <c r="P81" s="2"/>
    </row>
    <row r="82" spans="1:16" s="1" customFormat="1" ht="19.5" customHeight="1">
      <c r="A82" s="24"/>
      <c r="B82" s="24"/>
      <c r="C82" s="26"/>
      <c r="D82" s="45">
        <f>K82</f>
        <v>0</v>
      </c>
      <c r="E82" s="24" t="s">
        <v>61</v>
      </c>
      <c r="F82" s="39">
        <v>11042000</v>
      </c>
      <c r="G82" s="151">
        <v>0</v>
      </c>
      <c r="H82" s="152"/>
      <c r="I82" s="3">
        <v>0</v>
      </c>
      <c r="J82" s="3"/>
      <c r="K82" s="2">
        <f t="shared" si="9"/>
        <v>0</v>
      </c>
      <c r="L82" s="2"/>
      <c r="P82" s="2"/>
    </row>
    <row r="83" spans="1:16" s="1" customFormat="1" ht="19.5" customHeight="1">
      <c r="A83" s="24"/>
      <c r="B83" s="24"/>
      <c r="C83" s="26"/>
      <c r="D83" s="45">
        <f t="shared" si="10"/>
        <v>1894557.47</v>
      </c>
      <c r="E83" s="24" t="s">
        <v>33</v>
      </c>
      <c r="F83" s="28">
        <v>21040000</v>
      </c>
      <c r="G83" s="151">
        <v>396658.18</v>
      </c>
      <c r="H83" s="152"/>
      <c r="I83" s="3">
        <v>1497899.29</v>
      </c>
      <c r="J83" s="3"/>
      <c r="K83" s="2">
        <f t="shared" si="9"/>
        <v>1894557.47</v>
      </c>
      <c r="L83" s="2"/>
      <c r="P83" s="2"/>
    </row>
    <row r="84" spans="1:16" s="1" customFormat="1" ht="19.5" customHeight="1">
      <c r="A84" s="24"/>
      <c r="B84" s="24"/>
      <c r="C84" s="26"/>
      <c r="D84" s="45">
        <f t="shared" si="10"/>
        <v>0</v>
      </c>
      <c r="E84" s="24" t="s">
        <v>66</v>
      </c>
      <c r="F84" s="28">
        <v>21040016</v>
      </c>
      <c r="G84" s="151">
        <v>0</v>
      </c>
      <c r="H84" s="152"/>
      <c r="I84" s="3">
        <v>0</v>
      </c>
      <c r="J84" s="3"/>
      <c r="K84" s="2">
        <f t="shared" si="9"/>
        <v>0</v>
      </c>
      <c r="L84" s="2"/>
      <c r="P84" s="2"/>
    </row>
    <row r="85" spans="1:16" s="1" customFormat="1" ht="19.5" customHeight="1">
      <c r="A85" s="24"/>
      <c r="B85" s="24"/>
      <c r="C85" s="26"/>
      <c r="D85" s="45">
        <f t="shared" si="10"/>
        <v>8140909.25</v>
      </c>
      <c r="E85" s="24" t="s">
        <v>37</v>
      </c>
      <c r="F85" s="28">
        <v>21010000</v>
      </c>
      <c r="G85" s="151">
        <v>1935000</v>
      </c>
      <c r="H85" s="152"/>
      <c r="I85" s="3">
        <v>6205909.25</v>
      </c>
      <c r="J85" s="3"/>
      <c r="K85" s="2">
        <f t="shared" si="9"/>
        <v>8140909.25</v>
      </c>
      <c r="L85" s="2"/>
      <c r="P85" s="2"/>
    </row>
    <row r="86" spans="1:16" s="1" customFormat="1" ht="19.5" customHeight="1">
      <c r="A86" s="24"/>
      <c r="B86" s="24"/>
      <c r="C86" s="26"/>
      <c r="D86" s="45">
        <f t="shared" si="10"/>
        <v>3100</v>
      </c>
      <c r="E86" s="24" t="s">
        <v>38</v>
      </c>
      <c r="F86" s="28">
        <v>21030000</v>
      </c>
      <c r="G86" s="151">
        <v>0</v>
      </c>
      <c r="H86" s="152"/>
      <c r="I86" s="3">
        <v>3100</v>
      </c>
      <c r="J86" s="3"/>
      <c r="K86" s="2">
        <f t="shared" si="9"/>
        <v>3100</v>
      </c>
      <c r="L86" s="2"/>
      <c r="P86" s="2"/>
    </row>
    <row r="87" spans="1:16" s="1" customFormat="1" ht="19.5" customHeight="1" thickBot="1">
      <c r="A87" s="29"/>
      <c r="B87" s="24"/>
      <c r="C87" s="26"/>
      <c r="D87" s="82">
        <f>SUM(D73:D86)</f>
        <v>10311052.719999999</v>
      </c>
      <c r="E87" s="29"/>
      <c r="F87" s="50"/>
      <c r="G87" s="158">
        <f>SUM(G73:G86)</f>
        <v>2360302.18</v>
      </c>
      <c r="H87" s="159"/>
      <c r="I87" s="3">
        <f>SUM(I73:I86)</f>
        <v>7950750.54</v>
      </c>
      <c r="K87" s="3">
        <f>SUM(K73:K86)</f>
        <v>10311052.719999999</v>
      </c>
      <c r="L87" s="3"/>
      <c r="P87" s="2"/>
    </row>
    <row r="88" spans="1:16" s="1" customFormat="1" ht="19.5" customHeight="1" thickTop="1">
      <c r="A88" s="71">
        <f>SUM(A61:A87)</f>
        <v>82000000</v>
      </c>
      <c r="B88" s="71">
        <f>SUM(B61:B87)</f>
        <v>234864</v>
      </c>
      <c r="C88" s="71">
        <f>SUM(C61:C87)</f>
        <v>82234864</v>
      </c>
      <c r="D88" s="81">
        <f>D72+D87</f>
        <v>33268307.549999993</v>
      </c>
      <c r="E88" s="56" t="s">
        <v>20</v>
      </c>
      <c r="F88" s="57"/>
      <c r="G88" s="164">
        <f>G72+G87</f>
        <v>6622988.73</v>
      </c>
      <c r="H88" s="165"/>
      <c r="P88" s="2"/>
    </row>
    <row r="89" spans="1:16" s="1" customFormat="1" ht="19.5" customHeight="1">
      <c r="A89" s="58"/>
      <c r="B89" s="58"/>
      <c r="C89" s="58"/>
      <c r="D89" s="59">
        <f>D53-D88</f>
        <v>11401236.430000003</v>
      </c>
      <c r="E89" s="25" t="s">
        <v>21</v>
      </c>
      <c r="F89" s="50"/>
      <c r="G89" s="166"/>
      <c r="H89" s="167"/>
      <c r="K89" s="1">
        <v>49617015.23</v>
      </c>
      <c r="P89" s="2"/>
    </row>
    <row r="90" spans="1:16" s="1" customFormat="1" ht="19.5" customHeight="1">
      <c r="A90" s="26"/>
      <c r="B90" s="26"/>
      <c r="C90" s="26"/>
      <c r="D90" s="60"/>
      <c r="E90" s="26" t="s">
        <v>22</v>
      </c>
      <c r="F90" s="50"/>
      <c r="G90" s="141"/>
      <c r="H90" s="142"/>
      <c r="K90" s="1">
        <v>49374015.23</v>
      </c>
      <c r="P90" s="2"/>
    </row>
    <row r="91" spans="1:16" s="1" customFormat="1" ht="19.5" customHeight="1">
      <c r="A91" s="26"/>
      <c r="B91" s="26"/>
      <c r="C91" s="26"/>
      <c r="D91" s="61"/>
      <c r="E91" s="26" t="s">
        <v>23</v>
      </c>
      <c r="F91" s="50"/>
      <c r="G91" s="160">
        <f>G53-G88</f>
        <v>-414625.2100000009</v>
      </c>
      <c r="H91" s="161"/>
      <c r="K91" s="1">
        <f>K89-K90</f>
        <v>243000</v>
      </c>
      <c r="P91" s="2"/>
    </row>
    <row r="92" spans="1:16" s="1" customFormat="1" ht="19.5" customHeight="1" thickBot="1">
      <c r="A92" s="26"/>
      <c r="B92" s="26"/>
      <c r="C92" s="26"/>
      <c r="D92" s="54">
        <f>D8+D53-D88</f>
        <v>60971972.19999997</v>
      </c>
      <c r="E92" s="25" t="s">
        <v>24</v>
      </c>
      <c r="F92" s="50"/>
      <c r="G92" s="158">
        <f>G8+G53-G88</f>
        <v>60971972.19999999</v>
      </c>
      <c r="H92" s="159"/>
      <c r="I92" s="2">
        <f>21534904.15+5587194.69+930067.16+32919806.2</f>
        <v>60971972.2</v>
      </c>
      <c r="J92" s="2"/>
      <c r="K92" s="10">
        <f>G92-I92</f>
        <v>0</v>
      </c>
      <c r="L92" s="10"/>
      <c r="P92" s="2"/>
    </row>
    <row r="93" spans="1:16" s="1" customFormat="1" ht="14.25" customHeight="1" thickTop="1">
      <c r="A93" s="26"/>
      <c r="B93" s="26"/>
      <c r="C93" s="26"/>
      <c r="D93" s="62"/>
      <c r="E93" s="63"/>
      <c r="F93" s="25"/>
      <c r="G93" s="62"/>
      <c r="H93" s="64"/>
      <c r="I93" s="3">
        <f>G92-I92</f>
        <v>0</v>
      </c>
      <c r="J93" s="3"/>
      <c r="K93" s="10">
        <v>55106253.61699999</v>
      </c>
      <c r="L93" s="10"/>
      <c r="P93" s="2"/>
    </row>
    <row r="94" spans="1:16" s="1" customFormat="1" ht="18.75" customHeight="1">
      <c r="A94" s="26"/>
      <c r="B94" s="26"/>
      <c r="C94" s="26"/>
      <c r="D94" s="62"/>
      <c r="E94" s="63"/>
      <c r="F94" s="25"/>
      <c r="G94" s="62"/>
      <c r="H94" s="64"/>
      <c r="I94" s="3"/>
      <c r="J94" s="3"/>
      <c r="K94" s="10"/>
      <c r="L94" s="10"/>
      <c r="P94" s="2"/>
    </row>
    <row r="95" spans="1:16" s="1" customFormat="1" ht="22.5" customHeight="1">
      <c r="A95" s="102" t="s">
        <v>41</v>
      </c>
      <c r="B95" s="103"/>
      <c r="C95" s="103"/>
      <c r="D95" s="162" t="s">
        <v>96</v>
      </c>
      <c r="E95" s="162"/>
      <c r="F95" s="162"/>
      <c r="G95" s="162"/>
      <c r="H95" s="162"/>
      <c r="I95" s="3"/>
      <c r="K95" s="10"/>
      <c r="L95" s="10"/>
      <c r="P95" s="2"/>
    </row>
    <row r="96" spans="1:16" s="1" customFormat="1" ht="22.5" customHeight="1">
      <c r="A96" s="102" t="s">
        <v>64</v>
      </c>
      <c r="B96" s="103"/>
      <c r="C96" s="103"/>
      <c r="D96" s="104" t="s">
        <v>101</v>
      </c>
      <c r="E96" s="104"/>
      <c r="F96" s="104"/>
      <c r="G96" s="104"/>
      <c r="H96" s="64"/>
      <c r="I96" s="3"/>
      <c r="K96" s="10"/>
      <c r="L96" s="10"/>
      <c r="P96" s="2"/>
    </row>
    <row r="97" spans="1:16" s="1" customFormat="1" ht="14.25" customHeight="1">
      <c r="A97" s="105" t="s">
        <v>60</v>
      </c>
      <c r="B97" s="105"/>
      <c r="C97" s="105"/>
      <c r="D97" s="106" t="s">
        <v>103</v>
      </c>
      <c r="F97" s="104"/>
      <c r="G97" s="107"/>
      <c r="H97" s="25"/>
      <c r="K97" s="2"/>
      <c r="L97" s="2"/>
      <c r="P97" s="2"/>
    </row>
    <row r="98" spans="1:16" s="1" customFormat="1" ht="18.75" customHeight="1">
      <c r="A98" s="26"/>
      <c r="B98" s="26"/>
      <c r="C98" s="26"/>
      <c r="D98" s="106" t="s">
        <v>102</v>
      </c>
      <c r="E98" s="63"/>
      <c r="F98" s="25"/>
      <c r="G98" s="62"/>
      <c r="H98" s="64"/>
      <c r="I98" s="3"/>
      <c r="J98" s="3"/>
      <c r="K98" s="10"/>
      <c r="L98" s="10"/>
      <c r="P98" s="2"/>
    </row>
    <row r="99" spans="1:16" s="1" customFormat="1" ht="18.75" customHeight="1">
      <c r="A99" s="26"/>
      <c r="B99" s="26"/>
      <c r="C99" s="26"/>
      <c r="D99" s="62"/>
      <c r="E99" s="63"/>
      <c r="F99" s="25"/>
      <c r="G99" s="62"/>
      <c r="H99" s="64"/>
      <c r="I99" s="3"/>
      <c r="J99" s="3"/>
      <c r="K99" s="10"/>
      <c r="L99" s="10"/>
      <c r="P99" s="2"/>
    </row>
    <row r="100" spans="1:16" s="1" customFormat="1" ht="18.75" customHeight="1">
      <c r="A100" s="26"/>
      <c r="B100" s="26"/>
      <c r="C100" s="26"/>
      <c r="D100" s="62"/>
      <c r="E100" s="63"/>
      <c r="F100" s="25"/>
      <c r="G100" s="62"/>
      <c r="H100" s="64"/>
      <c r="I100" s="3"/>
      <c r="J100" s="3"/>
      <c r="K100" s="10"/>
      <c r="L100" s="10"/>
      <c r="P100" s="2"/>
    </row>
    <row r="101" spans="1:16" s="1" customFormat="1" ht="18.75" customHeight="1">
      <c r="A101" s="26"/>
      <c r="B101" s="26"/>
      <c r="C101" s="26"/>
      <c r="D101" s="62"/>
      <c r="E101" s="63"/>
      <c r="F101" s="25"/>
      <c r="G101" s="62"/>
      <c r="H101" s="64"/>
      <c r="I101" s="3">
        <f>5587194.69+930067.16+32919806.2+21534904.15</f>
        <v>60971972.199999996</v>
      </c>
      <c r="J101" s="3"/>
      <c r="K101" s="10"/>
      <c r="L101" s="10"/>
      <c r="P101" s="2"/>
    </row>
    <row r="102" spans="1:16" s="1" customFormat="1" ht="22.5" customHeight="1">
      <c r="A102" s="65" t="s">
        <v>41</v>
      </c>
      <c r="B102" s="26"/>
      <c r="C102" s="26"/>
      <c r="D102" s="163" t="s">
        <v>59</v>
      </c>
      <c r="E102" s="163"/>
      <c r="F102" s="163"/>
      <c r="G102" s="163"/>
      <c r="H102" s="64"/>
      <c r="I102" s="3"/>
      <c r="K102" s="10"/>
      <c r="L102" s="10"/>
      <c r="P102" s="2"/>
    </row>
    <row r="103" spans="1:16" s="1" customFormat="1" ht="22.5" customHeight="1">
      <c r="A103" s="73" t="s">
        <v>72</v>
      </c>
      <c r="B103" s="26"/>
      <c r="C103" s="26"/>
      <c r="D103" s="63" t="s">
        <v>73</v>
      </c>
      <c r="E103" s="63"/>
      <c r="F103" s="63"/>
      <c r="G103" s="63"/>
      <c r="H103" s="64"/>
      <c r="I103" s="3"/>
      <c r="K103" s="10"/>
      <c r="L103" s="10"/>
      <c r="P103" s="2"/>
    </row>
    <row r="104" spans="1:16" s="1" customFormat="1" ht="14.25" customHeight="1">
      <c r="A104" s="95" t="s">
        <v>71</v>
      </c>
      <c r="B104" s="73"/>
      <c r="C104" s="73"/>
      <c r="D104" s="67" t="s">
        <v>75</v>
      </c>
      <c r="E104" s="66"/>
      <c r="F104" s="63"/>
      <c r="G104" s="68"/>
      <c r="H104" s="25"/>
      <c r="K104" s="2"/>
      <c r="L104" s="2"/>
      <c r="P104" s="2"/>
    </row>
    <row r="105" spans="1:12" ht="17.25" customHeight="1">
      <c r="A105" s="73" t="s">
        <v>60</v>
      </c>
      <c r="B105" s="76"/>
      <c r="C105" s="76"/>
      <c r="D105" s="67" t="s">
        <v>74</v>
      </c>
      <c r="E105" s="77"/>
      <c r="F105" s="78"/>
      <c r="G105" s="79"/>
      <c r="H105" s="80"/>
      <c r="K105" s="12"/>
      <c r="L105" s="12"/>
    </row>
    <row r="106" spans="1:15" ht="21" customHeight="1">
      <c r="A106" s="18"/>
      <c r="B106" s="18"/>
      <c r="C106" s="18"/>
      <c r="D106" s="18"/>
      <c r="E106" s="21"/>
      <c r="F106" s="17"/>
      <c r="G106" s="20"/>
      <c r="H106" s="15"/>
      <c r="I106" s="14"/>
      <c r="J106" s="16"/>
      <c r="K106" s="22"/>
      <c r="L106" s="22"/>
      <c r="M106" s="16"/>
      <c r="N106" s="16"/>
      <c r="O106" s="16"/>
    </row>
    <row r="107" spans="1:15" ht="21" customHeight="1">
      <c r="A107" s="18"/>
      <c r="B107" s="18"/>
      <c r="C107" s="18"/>
      <c r="D107" s="18"/>
      <c r="E107" s="19"/>
      <c r="F107" s="17"/>
      <c r="G107" s="20"/>
      <c r="H107" s="15"/>
      <c r="I107" s="14"/>
      <c r="J107" s="16"/>
      <c r="K107" s="22"/>
      <c r="L107" s="22"/>
      <c r="M107" s="23"/>
      <c r="N107" s="16"/>
      <c r="O107" s="16"/>
    </row>
    <row r="108" spans="1:15" ht="21" customHeight="1">
      <c r="A108" s="18"/>
      <c r="B108" s="18"/>
      <c r="C108" s="18"/>
      <c r="D108" s="18"/>
      <c r="E108" s="19"/>
      <c r="F108" s="17"/>
      <c r="G108" s="20"/>
      <c r="H108" s="15"/>
      <c r="I108" s="14"/>
      <c r="J108" s="16"/>
      <c r="K108" s="22"/>
      <c r="L108" s="22"/>
      <c r="M108" s="23"/>
      <c r="N108" s="16"/>
      <c r="O108" s="16"/>
    </row>
    <row r="109" spans="1:15" ht="21" customHeight="1">
      <c r="A109" s="18"/>
      <c r="B109" s="18"/>
      <c r="C109" s="18"/>
      <c r="D109" s="18"/>
      <c r="E109" s="19"/>
      <c r="F109" s="17"/>
      <c r="G109" s="20"/>
      <c r="H109" s="15"/>
      <c r="I109" s="14"/>
      <c r="J109" s="16"/>
      <c r="K109" s="22"/>
      <c r="L109" s="22"/>
      <c r="M109" s="23"/>
      <c r="N109" s="16"/>
      <c r="O109" s="16"/>
    </row>
    <row r="110" spans="9:16" ht="17.25">
      <c r="I110" s="12"/>
      <c r="J110" s="12"/>
      <c r="K110" s="12"/>
      <c r="L110" s="12"/>
      <c r="P110" s="11"/>
    </row>
    <row r="111" spans="9:16" ht="17.25">
      <c r="I111" s="12"/>
      <c r="J111" s="12"/>
      <c r="K111" s="12"/>
      <c r="L111" s="12"/>
      <c r="P111" s="11"/>
    </row>
    <row r="112" spans="9:16" ht="17.25">
      <c r="I112" s="12"/>
      <c r="J112" s="12"/>
      <c r="K112" s="12"/>
      <c r="L112" s="12"/>
      <c r="P112" s="11"/>
    </row>
    <row r="113" spans="9:16" ht="17.25">
      <c r="I113" s="12"/>
      <c r="J113" s="12"/>
      <c r="K113" s="12"/>
      <c r="L113" s="12"/>
      <c r="P113" s="11"/>
    </row>
    <row r="114" spans="9:16" ht="17.25">
      <c r="I114" s="12"/>
      <c r="J114" s="12"/>
      <c r="K114" s="12"/>
      <c r="L114" s="12"/>
      <c r="P114" s="11"/>
    </row>
    <row r="115" spans="9:16" ht="17.25">
      <c r="I115" s="12"/>
      <c r="J115" s="12"/>
      <c r="K115" s="12"/>
      <c r="L115" s="12"/>
      <c r="P115" s="11"/>
    </row>
    <row r="116" spans="9:16" ht="17.25">
      <c r="I116" s="12"/>
      <c r="J116" s="12"/>
      <c r="K116" s="12"/>
      <c r="L116" s="12"/>
      <c r="P116" s="11"/>
    </row>
    <row r="117" spans="9:16" ht="17.25">
      <c r="I117" s="12"/>
      <c r="J117" s="12"/>
      <c r="K117" s="12"/>
      <c r="L117" s="12"/>
      <c r="P117" s="11"/>
    </row>
  </sheetData>
  <sheetProtection/>
  <mergeCells count="86">
    <mergeCell ref="A1:H1"/>
    <mergeCell ref="A2:H2"/>
    <mergeCell ref="A3:H3"/>
    <mergeCell ref="A4:D4"/>
    <mergeCell ref="E4:E6"/>
    <mergeCell ref="G4:H4"/>
    <mergeCell ref="G5:H5"/>
    <mergeCell ref="G6:H6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8:H18"/>
    <mergeCell ref="G19:H19"/>
    <mergeCell ref="G20:H20"/>
    <mergeCell ref="G21:H21"/>
    <mergeCell ref="G22:H22"/>
    <mergeCell ref="G23:H23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A55:H55"/>
    <mergeCell ref="A56:D56"/>
    <mergeCell ref="E56:E59"/>
    <mergeCell ref="G57:H57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89:H89"/>
    <mergeCell ref="G78:H78"/>
    <mergeCell ref="G79:H79"/>
    <mergeCell ref="G80:H80"/>
    <mergeCell ref="G81:H81"/>
    <mergeCell ref="G82:H82"/>
    <mergeCell ref="G83:H83"/>
    <mergeCell ref="G90:H90"/>
    <mergeCell ref="G91:H91"/>
    <mergeCell ref="G92:H92"/>
    <mergeCell ref="D95:H95"/>
    <mergeCell ref="D102:G102"/>
    <mergeCell ref="G84:H84"/>
    <mergeCell ref="G85:H85"/>
    <mergeCell ref="G86:H86"/>
    <mergeCell ref="G87:H87"/>
    <mergeCell ref="G88:H88"/>
  </mergeCells>
  <printOptions/>
  <pageMargins left="0.31496062992125984" right="0.31496062992125984" top="0.2755905511811024" bottom="0" header="0.15748031496062992" footer="0.236220472440944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17"/>
  <sheetViews>
    <sheetView view="pageBreakPreview" zoomScale="140" zoomScaleSheetLayoutView="140" workbookViewId="0" topLeftCell="A70">
      <selection activeCell="D73" sqref="D73:D86"/>
    </sheetView>
  </sheetViews>
  <sheetFormatPr defaultColWidth="9.140625" defaultRowHeight="21.75"/>
  <cols>
    <col min="1" max="3" width="11.28125" style="11" customWidth="1"/>
    <col min="4" max="4" width="15.421875" style="11" customWidth="1"/>
    <col min="5" max="5" width="25.8515625" style="11" customWidth="1"/>
    <col min="6" max="6" width="10.00390625" style="11" customWidth="1"/>
    <col min="7" max="7" width="4.28125" style="11" customWidth="1"/>
    <col min="8" max="8" width="11.140625" style="11" customWidth="1"/>
    <col min="9" max="9" width="14.140625" style="11" customWidth="1"/>
    <col min="10" max="10" width="1.8515625" style="11" customWidth="1"/>
    <col min="11" max="11" width="13.57421875" style="11" customWidth="1"/>
    <col min="12" max="12" width="13.7109375" style="11" customWidth="1"/>
    <col min="13" max="15" width="14.28125" style="11" customWidth="1"/>
    <col min="16" max="16" width="14.28125" style="12" customWidth="1"/>
    <col min="17" max="16384" width="9.140625" style="11" customWidth="1"/>
  </cols>
  <sheetData>
    <row r="1" spans="1:16" s="1" customFormat="1" ht="17.25" customHeight="1">
      <c r="A1" s="168" t="s">
        <v>35</v>
      </c>
      <c r="B1" s="168"/>
      <c r="C1" s="168"/>
      <c r="D1" s="168"/>
      <c r="E1" s="168"/>
      <c r="F1" s="168"/>
      <c r="G1" s="168"/>
      <c r="H1" s="168"/>
      <c r="P1" s="2"/>
    </row>
    <row r="2" spans="1:16" s="1" customFormat="1" ht="17.25" customHeight="1">
      <c r="A2" s="168" t="s">
        <v>54</v>
      </c>
      <c r="B2" s="168"/>
      <c r="C2" s="168"/>
      <c r="D2" s="168"/>
      <c r="E2" s="168"/>
      <c r="F2" s="168"/>
      <c r="G2" s="168"/>
      <c r="H2" s="168"/>
      <c r="P2" s="2"/>
    </row>
    <row r="3" spans="1:16" s="1" customFormat="1" ht="17.25" customHeight="1" thickBot="1">
      <c r="A3" s="169" t="s">
        <v>109</v>
      </c>
      <c r="B3" s="169"/>
      <c r="C3" s="169"/>
      <c r="D3" s="169"/>
      <c r="E3" s="169"/>
      <c r="F3" s="169"/>
      <c r="G3" s="169"/>
      <c r="H3" s="169"/>
      <c r="P3" s="2"/>
    </row>
    <row r="4" spans="1:16" s="1" customFormat="1" ht="15.75" customHeight="1" thickTop="1">
      <c r="A4" s="170" t="s">
        <v>46</v>
      </c>
      <c r="B4" s="171"/>
      <c r="C4" s="171"/>
      <c r="D4" s="172"/>
      <c r="E4" s="173" t="s">
        <v>18</v>
      </c>
      <c r="F4" s="128" t="s">
        <v>16</v>
      </c>
      <c r="G4" s="175"/>
      <c r="H4" s="176"/>
      <c r="P4" s="2"/>
    </row>
    <row r="5" spans="1:16" s="1" customFormat="1" ht="15.75" customHeight="1">
      <c r="A5" s="129" t="s">
        <v>32</v>
      </c>
      <c r="B5" s="116" t="s">
        <v>51</v>
      </c>
      <c r="C5" s="116" t="s">
        <v>47</v>
      </c>
      <c r="D5" s="41" t="s">
        <v>48</v>
      </c>
      <c r="E5" s="174"/>
      <c r="F5" s="42" t="s">
        <v>17</v>
      </c>
      <c r="G5" s="177" t="s">
        <v>68</v>
      </c>
      <c r="H5" s="178"/>
      <c r="P5" s="2"/>
    </row>
    <row r="6" spans="1:16" s="1" customFormat="1" ht="15.75" customHeight="1">
      <c r="A6" s="130" t="s">
        <v>53</v>
      </c>
      <c r="B6" s="42" t="s">
        <v>52</v>
      </c>
      <c r="C6" s="42" t="s">
        <v>49</v>
      </c>
      <c r="D6" s="41" t="s">
        <v>49</v>
      </c>
      <c r="E6" s="174"/>
      <c r="F6" s="130"/>
      <c r="G6" s="177" t="s">
        <v>69</v>
      </c>
      <c r="H6" s="178"/>
      <c r="P6" s="2"/>
    </row>
    <row r="7" spans="1:16" s="1" customFormat="1" ht="15.75" customHeight="1">
      <c r="A7" s="131"/>
      <c r="B7" s="122" t="s">
        <v>49</v>
      </c>
      <c r="C7" s="122"/>
      <c r="D7" s="123"/>
      <c r="E7" s="132"/>
      <c r="F7" s="131"/>
      <c r="G7" s="123"/>
      <c r="H7" s="133"/>
      <c r="P7" s="2"/>
    </row>
    <row r="8" spans="1:16" s="1" customFormat="1" ht="15.75" customHeight="1" thickBot="1">
      <c r="A8" s="30"/>
      <c r="B8" s="31"/>
      <c r="C8" s="32"/>
      <c r="D8" s="33">
        <v>49570735.76999998</v>
      </c>
      <c r="E8" s="28"/>
      <c r="F8" s="28"/>
      <c r="G8" s="158">
        <v>60971972.19999999</v>
      </c>
      <c r="H8" s="159"/>
      <c r="P8" s="2"/>
    </row>
    <row r="9" spans="1:16" s="1" customFormat="1" ht="15.75" customHeight="1" thickTop="1">
      <c r="A9" s="30"/>
      <c r="B9" s="26"/>
      <c r="C9" s="24"/>
      <c r="D9" s="34"/>
      <c r="E9" s="35" t="s">
        <v>55</v>
      </c>
      <c r="F9" s="28"/>
      <c r="G9" s="137"/>
      <c r="H9" s="138"/>
      <c r="I9" s="1" t="s">
        <v>31</v>
      </c>
      <c r="K9" s="1" t="s">
        <v>26</v>
      </c>
      <c r="P9" s="2"/>
    </row>
    <row r="10" spans="1:16" s="1" customFormat="1" ht="15.75" customHeight="1">
      <c r="A10" s="99">
        <v>806000</v>
      </c>
      <c r="B10" s="72">
        <v>0</v>
      </c>
      <c r="C10" s="37">
        <f aca="true" t="shared" si="0" ref="C10:C15">SUM(A10:B10)</f>
        <v>806000</v>
      </c>
      <c r="D10" s="38">
        <f aca="true" t="shared" si="1" ref="D10:D15">K10</f>
        <v>429097.57</v>
      </c>
      <c r="E10" s="24" t="s">
        <v>4</v>
      </c>
      <c r="F10" s="39" t="s">
        <v>79</v>
      </c>
      <c r="G10" s="139">
        <v>206176.98</v>
      </c>
      <c r="H10" s="140"/>
      <c r="I10" s="3">
        <v>222920.59</v>
      </c>
      <c r="J10" s="3"/>
      <c r="K10" s="2">
        <f aca="true" t="shared" si="2" ref="K10:K15">SUM(G10+I10)</f>
        <v>429097.57</v>
      </c>
      <c r="L10" s="2"/>
      <c r="P10" s="2"/>
    </row>
    <row r="11" spans="1:16" s="1" customFormat="1" ht="15.75" customHeight="1">
      <c r="A11" s="99">
        <v>414000</v>
      </c>
      <c r="B11" s="72">
        <v>0</v>
      </c>
      <c r="C11" s="37">
        <f t="shared" si="0"/>
        <v>414000</v>
      </c>
      <c r="D11" s="38">
        <f t="shared" si="1"/>
        <v>160564.09999999998</v>
      </c>
      <c r="E11" s="24" t="s">
        <v>5</v>
      </c>
      <c r="F11" s="39" t="s">
        <v>80</v>
      </c>
      <c r="G11" s="141">
        <v>25710</v>
      </c>
      <c r="H11" s="142"/>
      <c r="I11" s="3">
        <v>134854.09999999998</v>
      </c>
      <c r="J11" s="3"/>
      <c r="K11" s="2">
        <f t="shared" si="2"/>
        <v>160564.09999999998</v>
      </c>
      <c r="L11" s="2"/>
      <c r="P11" s="2"/>
    </row>
    <row r="12" spans="1:16" s="1" customFormat="1" ht="15.75" customHeight="1">
      <c r="A12" s="99">
        <v>1900000</v>
      </c>
      <c r="B12" s="72">
        <v>0</v>
      </c>
      <c r="C12" s="37">
        <f t="shared" si="0"/>
        <v>1900000</v>
      </c>
      <c r="D12" s="38">
        <f t="shared" si="1"/>
        <v>721936.34</v>
      </c>
      <c r="E12" s="24" t="s">
        <v>6</v>
      </c>
      <c r="F12" s="39" t="s">
        <v>81</v>
      </c>
      <c r="G12" s="141">
        <v>102197.84</v>
      </c>
      <c r="H12" s="142"/>
      <c r="I12" s="3">
        <v>619738.5</v>
      </c>
      <c r="J12" s="3"/>
      <c r="K12" s="2">
        <f t="shared" si="2"/>
        <v>721936.34</v>
      </c>
      <c r="L12" s="2"/>
      <c r="P12" s="2"/>
    </row>
    <row r="13" spans="1:16" s="1" customFormat="1" ht="15.75" customHeight="1">
      <c r="A13" s="99">
        <v>820000</v>
      </c>
      <c r="B13" s="72">
        <v>0</v>
      </c>
      <c r="C13" s="37">
        <f t="shared" si="0"/>
        <v>820000</v>
      </c>
      <c r="D13" s="38">
        <f t="shared" si="1"/>
        <v>267650</v>
      </c>
      <c r="E13" s="24" t="s">
        <v>7</v>
      </c>
      <c r="F13" s="39" t="s">
        <v>82</v>
      </c>
      <c r="G13" s="141">
        <v>31950</v>
      </c>
      <c r="H13" s="142"/>
      <c r="I13" s="3">
        <v>235700</v>
      </c>
      <c r="J13" s="3"/>
      <c r="K13" s="2">
        <f t="shared" si="2"/>
        <v>267650</v>
      </c>
      <c r="L13" s="2"/>
      <c r="P13" s="2"/>
    </row>
    <row r="14" spans="1:16" s="1" customFormat="1" ht="15.75" customHeight="1">
      <c r="A14" s="99">
        <v>32060000</v>
      </c>
      <c r="B14" s="72">
        <v>0</v>
      </c>
      <c r="C14" s="37">
        <f>SUM(A14:B14)</f>
        <v>32060000</v>
      </c>
      <c r="D14" s="38">
        <f t="shared" si="1"/>
        <v>18996904.22</v>
      </c>
      <c r="E14" s="24" t="s">
        <v>19</v>
      </c>
      <c r="F14" s="39" t="s">
        <v>83</v>
      </c>
      <c r="G14" s="141">
        <v>6055525.58</v>
      </c>
      <c r="H14" s="142"/>
      <c r="I14" s="3">
        <v>12941378.64</v>
      </c>
      <c r="J14" s="3"/>
      <c r="K14" s="2">
        <f t="shared" si="2"/>
        <v>18996904.22</v>
      </c>
      <c r="L14" s="2"/>
      <c r="P14" s="2"/>
    </row>
    <row r="15" spans="1:16" s="1" customFormat="1" ht="15.75" customHeight="1">
      <c r="A15" s="99">
        <v>46000000</v>
      </c>
      <c r="B15" s="72">
        <v>0</v>
      </c>
      <c r="C15" s="37">
        <f t="shared" si="0"/>
        <v>46000000</v>
      </c>
      <c r="D15" s="38">
        <f t="shared" si="1"/>
        <v>25835640</v>
      </c>
      <c r="E15" s="24" t="s">
        <v>40</v>
      </c>
      <c r="F15" s="39" t="s">
        <v>84</v>
      </c>
      <c r="G15" s="141">
        <v>505180</v>
      </c>
      <c r="H15" s="142"/>
      <c r="I15" s="3">
        <v>25330460</v>
      </c>
      <c r="J15" s="3"/>
      <c r="K15" s="2">
        <f t="shared" si="2"/>
        <v>25835640</v>
      </c>
      <c r="L15" s="2"/>
      <c r="P15" s="2"/>
    </row>
    <row r="16" spans="1:16" s="1" customFormat="1" ht="15.75" customHeight="1">
      <c r="A16" s="100">
        <f>SUM(A10:A15)</f>
        <v>82000000</v>
      </c>
      <c r="B16" s="88"/>
      <c r="C16" s="55">
        <f>SUM(C10:C15)</f>
        <v>82000000</v>
      </c>
      <c r="D16" s="83">
        <f>SUM(D10:D15)</f>
        <v>46411792.23</v>
      </c>
      <c r="E16" s="85" t="s">
        <v>47</v>
      </c>
      <c r="F16" s="86"/>
      <c r="G16" s="143">
        <f>SUM(G10:G15)</f>
        <v>6926740.4</v>
      </c>
      <c r="H16" s="144"/>
      <c r="I16" s="4">
        <f>SUM(I10:I15)</f>
        <v>39485051.83</v>
      </c>
      <c r="K16" s="5">
        <f>SUM(K10:K15)</f>
        <v>46411792.23</v>
      </c>
      <c r="L16" s="5"/>
      <c r="P16" s="2"/>
    </row>
    <row r="17" spans="1:16" s="1" customFormat="1" ht="15.75" customHeight="1">
      <c r="A17" s="40"/>
      <c r="B17" s="41"/>
      <c r="C17" s="42"/>
      <c r="D17" s="87"/>
      <c r="E17" s="101" t="s">
        <v>100</v>
      </c>
      <c r="F17" s="39">
        <v>44100000</v>
      </c>
      <c r="G17" s="43"/>
      <c r="H17" s="44"/>
      <c r="I17" s="4"/>
      <c r="K17" s="5"/>
      <c r="L17" s="5"/>
      <c r="P17" s="2"/>
    </row>
    <row r="18" spans="1:16" s="1" customFormat="1" ht="15.75" customHeight="1">
      <c r="A18" s="30"/>
      <c r="B18" s="72">
        <f>12000+12000</f>
        <v>24000</v>
      </c>
      <c r="C18" s="60">
        <f>SUM(B18)</f>
        <v>24000</v>
      </c>
      <c r="D18" s="45">
        <f>K18</f>
        <v>24000</v>
      </c>
      <c r="E18" s="24" t="s">
        <v>67</v>
      </c>
      <c r="F18" s="39"/>
      <c r="G18" s="145">
        <v>0</v>
      </c>
      <c r="H18" s="146"/>
      <c r="I18" s="3">
        <v>24000</v>
      </c>
      <c r="J18" s="3"/>
      <c r="K18" s="2">
        <f aca="true" t="shared" si="3" ref="K18:K50">SUM(G18+I18)</f>
        <v>24000</v>
      </c>
      <c r="L18" s="2"/>
      <c r="P18" s="2"/>
    </row>
    <row r="19" spans="1:16" s="1" customFormat="1" ht="15.75" customHeight="1">
      <c r="A19" s="30"/>
      <c r="B19" s="72">
        <v>24000</v>
      </c>
      <c r="C19" s="60">
        <f>SUM(B19)</f>
        <v>24000</v>
      </c>
      <c r="D19" s="45">
        <f>K19</f>
        <v>24000</v>
      </c>
      <c r="E19" s="24" t="s">
        <v>70</v>
      </c>
      <c r="F19" s="39"/>
      <c r="G19" s="145">
        <v>0</v>
      </c>
      <c r="H19" s="146"/>
      <c r="I19" s="3">
        <v>24000</v>
      </c>
      <c r="J19" s="3">
        <v>0</v>
      </c>
      <c r="K19" s="2">
        <f t="shared" si="3"/>
        <v>24000</v>
      </c>
      <c r="L19" s="2"/>
      <c r="P19" s="2"/>
    </row>
    <row r="20" spans="1:16" s="1" customFormat="1" ht="15.75" customHeight="1">
      <c r="A20" s="30"/>
      <c r="B20" s="72">
        <f>85932+85932</f>
        <v>171864</v>
      </c>
      <c r="C20" s="60">
        <f>SUM(B20)</f>
        <v>171864</v>
      </c>
      <c r="D20" s="45">
        <f>K20</f>
        <v>171864</v>
      </c>
      <c r="E20" s="24" t="s">
        <v>78</v>
      </c>
      <c r="F20" s="39"/>
      <c r="G20" s="141">
        <v>0</v>
      </c>
      <c r="H20" s="142"/>
      <c r="I20" s="3">
        <v>171864</v>
      </c>
      <c r="J20" s="3"/>
      <c r="K20" s="2">
        <f t="shared" si="3"/>
        <v>171864</v>
      </c>
      <c r="L20" s="2"/>
      <c r="P20" s="2"/>
    </row>
    <row r="21" spans="1:16" s="1" customFormat="1" ht="15.75" customHeight="1">
      <c r="A21" s="30"/>
      <c r="B21" s="72">
        <v>27000</v>
      </c>
      <c r="C21" s="60">
        <f>SUM(B21)</f>
        <v>27000</v>
      </c>
      <c r="D21" s="45">
        <f>K21</f>
        <v>27000</v>
      </c>
      <c r="E21" s="24" t="s">
        <v>107</v>
      </c>
      <c r="F21" s="39"/>
      <c r="G21" s="141">
        <v>0</v>
      </c>
      <c r="H21" s="142"/>
      <c r="I21" s="3">
        <v>27000</v>
      </c>
      <c r="J21" s="3"/>
      <c r="K21" s="2">
        <f t="shared" si="3"/>
        <v>27000</v>
      </c>
      <c r="L21" s="2"/>
      <c r="P21" s="2"/>
    </row>
    <row r="22" spans="1:16" s="1" customFormat="1" ht="15.75" customHeight="1">
      <c r="A22" s="30"/>
      <c r="B22" s="72">
        <v>5272999.99</v>
      </c>
      <c r="C22" s="60">
        <f>SUM(B22)</f>
        <v>5272999.99</v>
      </c>
      <c r="D22" s="45">
        <f>K22</f>
        <v>5272999.99</v>
      </c>
      <c r="E22" s="134" t="s">
        <v>110</v>
      </c>
      <c r="F22" s="39"/>
      <c r="G22" s="141">
        <v>5272999.99</v>
      </c>
      <c r="H22" s="142"/>
      <c r="I22" s="3">
        <v>0</v>
      </c>
      <c r="J22" s="3"/>
      <c r="K22" s="2">
        <f t="shared" si="3"/>
        <v>5272999.99</v>
      </c>
      <c r="L22" s="2"/>
      <c r="P22" s="2"/>
    </row>
    <row r="23" spans="1:16" s="1" customFormat="1" ht="15.75" customHeight="1">
      <c r="A23" s="30"/>
      <c r="B23" s="72"/>
      <c r="C23" s="60"/>
      <c r="D23" s="45"/>
      <c r="E23" s="24"/>
      <c r="F23" s="39"/>
      <c r="G23" s="141"/>
      <c r="H23" s="142"/>
      <c r="I23" s="3">
        <v>0</v>
      </c>
      <c r="J23" s="3"/>
      <c r="K23" s="2">
        <f t="shared" si="3"/>
        <v>0</v>
      </c>
      <c r="L23" s="2"/>
      <c r="P23" s="2"/>
    </row>
    <row r="24" spans="1:16" s="1" customFormat="1" ht="15.75" customHeight="1">
      <c r="A24" s="30"/>
      <c r="B24" s="72"/>
      <c r="C24" s="60"/>
      <c r="D24" s="45"/>
      <c r="E24" s="24"/>
      <c r="F24" s="39"/>
      <c r="G24" s="38"/>
      <c r="H24" s="96"/>
      <c r="I24" s="3">
        <v>0</v>
      </c>
      <c r="J24" s="3"/>
      <c r="K24" s="2"/>
      <c r="L24" s="2"/>
      <c r="P24" s="2"/>
    </row>
    <row r="25" spans="1:16" s="1" customFormat="1" ht="15.75" customHeight="1">
      <c r="A25" s="30"/>
      <c r="B25" s="72"/>
      <c r="C25" s="60"/>
      <c r="D25" s="45"/>
      <c r="E25" s="24"/>
      <c r="F25" s="39"/>
      <c r="G25" s="38"/>
      <c r="H25" s="96"/>
      <c r="I25" s="3"/>
      <c r="J25" s="3"/>
      <c r="K25" s="2"/>
      <c r="L25" s="2"/>
      <c r="P25" s="2"/>
    </row>
    <row r="26" spans="1:16" s="1" customFormat="1" ht="15.75" customHeight="1">
      <c r="A26" s="30"/>
      <c r="B26" s="72"/>
      <c r="C26" s="60"/>
      <c r="D26" s="45"/>
      <c r="E26" s="24"/>
      <c r="F26" s="39"/>
      <c r="G26" s="38"/>
      <c r="H26" s="96"/>
      <c r="I26" s="3"/>
      <c r="J26" s="3"/>
      <c r="K26" s="2"/>
      <c r="L26" s="2"/>
      <c r="P26" s="2"/>
    </row>
    <row r="27" spans="1:16" s="1" customFormat="1" ht="15.75" customHeight="1">
      <c r="A27" s="30"/>
      <c r="B27" s="72"/>
      <c r="C27" s="60"/>
      <c r="D27" s="45"/>
      <c r="E27" s="24"/>
      <c r="F27" s="39"/>
      <c r="G27" s="38"/>
      <c r="H27" s="96"/>
      <c r="I27" s="3"/>
      <c r="J27" s="3"/>
      <c r="K27" s="2"/>
      <c r="L27" s="2"/>
      <c r="P27" s="2"/>
    </row>
    <row r="28" spans="1:16" s="1" customFormat="1" ht="15.75" customHeight="1">
      <c r="A28" s="30"/>
      <c r="B28" s="72"/>
      <c r="C28" s="60"/>
      <c r="D28" s="45"/>
      <c r="E28" s="24"/>
      <c r="F28" s="39"/>
      <c r="G28" s="38"/>
      <c r="H28" s="96"/>
      <c r="I28" s="3"/>
      <c r="J28" s="3"/>
      <c r="K28" s="2"/>
      <c r="L28" s="2"/>
      <c r="P28" s="2"/>
    </row>
    <row r="29" spans="1:16" s="1" customFormat="1" ht="15.75" customHeight="1">
      <c r="A29" s="30"/>
      <c r="B29" s="72"/>
      <c r="C29" s="60"/>
      <c r="D29" s="45"/>
      <c r="E29" s="24"/>
      <c r="F29" s="39"/>
      <c r="G29" s="38"/>
      <c r="H29" s="96"/>
      <c r="I29" s="3"/>
      <c r="J29" s="3"/>
      <c r="K29" s="2"/>
      <c r="L29" s="2"/>
      <c r="P29" s="2"/>
    </row>
    <row r="30" spans="1:16" s="1" customFormat="1" ht="15.75" customHeight="1">
      <c r="A30" s="30"/>
      <c r="B30" s="72"/>
      <c r="C30" s="60"/>
      <c r="D30" s="45"/>
      <c r="E30" s="24"/>
      <c r="F30" s="39"/>
      <c r="G30" s="141"/>
      <c r="H30" s="142"/>
      <c r="I30" s="3"/>
      <c r="J30" s="3"/>
      <c r="K30" s="2">
        <f t="shared" si="3"/>
        <v>0</v>
      </c>
      <c r="L30" s="2"/>
      <c r="P30" s="2"/>
    </row>
    <row r="31" spans="1:16" s="1" customFormat="1" ht="15.75" customHeight="1">
      <c r="A31" s="30"/>
      <c r="B31" s="72"/>
      <c r="C31" s="60"/>
      <c r="D31" s="45"/>
      <c r="E31" s="24"/>
      <c r="F31" s="39"/>
      <c r="G31" s="141"/>
      <c r="H31" s="142"/>
      <c r="I31" s="3"/>
      <c r="J31" s="3"/>
      <c r="K31" s="2">
        <f t="shared" si="3"/>
        <v>0</v>
      </c>
      <c r="L31" s="2"/>
      <c r="P31" s="2"/>
    </row>
    <row r="32" spans="1:16" s="1" customFormat="1" ht="15.75" customHeight="1">
      <c r="A32" s="30"/>
      <c r="B32" s="72"/>
      <c r="C32" s="60"/>
      <c r="D32" s="45"/>
      <c r="E32" s="24"/>
      <c r="F32" s="39"/>
      <c r="G32" s="141"/>
      <c r="H32" s="142"/>
      <c r="I32" s="3"/>
      <c r="J32" s="3"/>
      <c r="K32" s="2">
        <f t="shared" si="3"/>
        <v>0</v>
      </c>
      <c r="L32" s="2"/>
      <c r="P32" s="2"/>
    </row>
    <row r="33" spans="1:16" s="1" customFormat="1" ht="15.75" customHeight="1">
      <c r="A33" s="30"/>
      <c r="B33" s="72"/>
      <c r="C33" s="60"/>
      <c r="D33" s="45"/>
      <c r="E33" s="24"/>
      <c r="F33" s="39"/>
      <c r="G33" s="141"/>
      <c r="H33" s="142"/>
      <c r="I33" s="3"/>
      <c r="J33" s="3"/>
      <c r="K33" s="2">
        <f t="shared" si="3"/>
        <v>0</v>
      </c>
      <c r="L33" s="2"/>
      <c r="P33" s="2"/>
    </row>
    <row r="34" spans="1:16" s="1" customFormat="1" ht="15.75" customHeight="1">
      <c r="A34" s="30"/>
      <c r="B34" s="72"/>
      <c r="C34" s="60"/>
      <c r="D34" s="45"/>
      <c r="E34" s="24"/>
      <c r="F34" s="39"/>
      <c r="G34" s="141"/>
      <c r="H34" s="142"/>
      <c r="I34" s="3"/>
      <c r="J34" s="3"/>
      <c r="K34" s="2">
        <f t="shared" si="3"/>
        <v>0</v>
      </c>
      <c r="L34" s="2"/>
      <c r="P34" s="2"/>
    </row>
    <row r="35" spans="1:16" s="1" customFormat="1" ht="15.75" customHeight="1">
      <c r="A35" s="30"/>
      <c r="B35" s="72"/>
      <c r="C35" s="60"/>
      <c r="D35" s="45"/>
      <c r="E35" s="24"/>
      <c r="F35" s="39"/>
      <c r="G35" s="147"/>
      <c r="H35" s="148"/>
      <c r="I35" s="3"/>
      <c r="J35" s="3"/>
      <c r="K35" s="2">
        <f t="shared" si="3"/>
        <v>0</v>
      </c>
      <c r="L35" s="2"/>
      <c r="P35" s="2"/>
    </row>
    <row r="36" spans="1:16" s="1" customFormat="1" ht="15.75" customHeight="1">
      <c r="A36" s="84"/>
      <c r="B36" s="90">
        <f>SUM(B18:B35)</f>
        <v>5519863.99</v>
      </c>
      <c r="C36" s="55">
        <f>SUM(C18:C35)</f>
        <v>5519863.99</v>
      </c>
      <c r="D36" s="55">
        <f>SUM(D18:D35)</f>
        <v>5519863.99</v>
      </c>
      <c r="E36" s="89"/>
      <c r="F36" s="86"/>
      <c r="G36" s="149">
        <f>SUM(G18:G35)</f>
        <v>5272999.99</v>
      </c>
      <c r="H36" s="150"/>
      <c r="I36" s="3"/>
      <c r="J36" s="3"/>
      <c r="K36" s="2">
        <f t="shared" si="3"/>
        <v>5272999.99</v>
      </c>
      <c r="L36" s="2"/>
      <c r="P36" s="2"/>
    </row>
    <row r="37" spans="1:16" s="93" customFormat="1" ht="15.75" customHeight="1" thickBot="1">
      <c r="A37" s="100">
        <f>A16</f>
        <v>82000000</v>
      </c>
      <c r="B37" s="90"/>
      <c r="C37" s="55"/>
      <c r="D37" s="47">
        <f>D16+D36</f>
        <v>51931656.22</v>
      </c>
      <c r="E37" s="85" t="s">
        <v>47</v>
      </c>
      <c r="F37" s="91"/>
      <c r="G37" s="143">
        <f>G16+G36</f>
        <v>12199740.39</v>
      </c>
      <c r="H37" s="144"/>
      <c r="I37" s="5"/>
      <c r="J37" s="5"/>
      <c r="K37" s="92">
        <f t="shared" si="3"/>
        <v>12199740.39</v>
      </c>
      <c r="L37" s="92"/>
      <c r="P37" s="92"/>
    </row>
    <row r="38" spans="1:16" s="1" customFormat="1" ht="15.75" customHeight="1" thickTop="1">
      <c r="A38" s="30"/>
      <c r="B38" s="25"/>
      <c r="C38" s="28"/>
      <c r="D38" s="48">
        <f>K38</f>
        <v>2335616.7399999998</v>
      </c>
      <c r="E38" s="27" t="s">
        <v>34</v>
      </c>
      <c r="F38" s="39">
        <v>21040000</v>
      </c>
      <c r="G38" s="141">
        <v>462420.88</v>
      </c>
      <c r="H38" s="142"/>
      <c r="I38" s="3">
        <v>1873195.8599999999</v>
      </c>
      <c r="J38" s="3"/>
      <c r="K38" s="2">
        <f t="shared" si="3"/>
        <v>2335616.7399999998</v>
      </c>
      <c r="L38" s="2"/>
      <c r="P38" s="2"/>
    </row>
    <row r="39" spans="1:16" s="1" customFormat="1" ht="15.75" customHeight="1">
      <c r="A39" s="30"/>
      <c r="B39" s="25"/>
      <c r="C39" s="28"/>
      <c r="D39" s="45">
        <f aca="true" t="shared" si="4" ref="D39:D51">K39</f>
        <v>164610</v>
      </c>
      <c r="E39" s="27" t="s">
        <v>65</v>
      </c>
      <c r="F39" s="39">
        <v>11041000</v>
      </c>
      <c r="G39" s="141">
        <v>3600</v>
      </c>
      <c r="H39" s="142"/>
      <c r="I39" s="3">
        <v>161010</v>
      </c>
      <c r="J39" s="3"/>
      <c r="K39" s="2">
        <f t="shared" si="3"/>
        <v>164610</v>
      </c>
      <c r="L39" s="2"/>
      <c r="P39" s="2"/>
    </row>
    <row r="40" spans="1:16" s="1" customFormat="1" ht="15.75" customHeight="1">
      <c r="A40" s="30"/>
      <c r="B40" s="25"/>
      <c r="C40" s="28"/>
      <c r="D40" s="45">
        <f t="shared" si="4"/>
        <v>0</v>
      </c>
      <c r="E40" s="27" t="s">
        <v>30</v>
      </c>
      <c r="F40" s="39">
        <v>11047000</v>
      </c>
      <c r="G40" s="141">
        <v>0</v>
      </c>
      <c r="H40" s="142"/>
      <c r="I40" s="3">
        <v>0</v>
      </c>
      <c r="J40" s="3"/>
      <c r="K40" s="2">
        <f t="shared" si="3"/>
        <v>0</v>
      </c>
      <c r="L40" s="2"/>
      <c r="P40" s="2"/>
    </row>
    <row r="41" spans="1:16" s="1" customFormat="1" ht="15.75" customHeight="1">
      <c r="A41" s="30"/>
      <c r="B41" s="25"/>
      <c r="C41" s="28"/>
      <c r="D41" s="45">
        <f t="shared" si="4"/>
        <v>57288</v>
      </c>
      <c r="E41" s="27" t="s">
        <v>62</v>
      </c>
      <c r="F41" s="39">
        <v>19040000</v>
      </c>
      <c r="G41" s="141">
        <v>0</v>
      </c>
      <c r="H41" s="142"/>
      <c r="I41" s="3">
        <v>57288</v>
      </c>
      <c r="J41" s="3"/>
      <c r="K41" s="2">
        <f t="shared" si="3"/>
        <v>57288</v>
      </c>
      <c r="L41" s="2"/>
      <c r="P41" s="2"/>
    </row>
    <row r="42" spans="1:16" s="1" customFormat="1" ht="15.75" customHeight="1">
      <c r="A42" s="30"/>
      <c r="B42" s="25"/>
      <c r="C42" s="28"/>
      <c r="D42" s="45">
        <f t="shared" si="4"/>
        <v>4648.47</v>
      </c>
      <c r="E42" s="27" t="s">
        <v>36</v>
      </c>
      <c r="F42" s="39">
        <v>11043002</v>
      </c>
      <c r="G42" s="141">
        <v>1390.18</v>
      </c>
      <c r="H42" s="142"/>
      <c r="I42" s="3">
        <v>3258.29</v>
      </c>
      <c r="J42" s="3"/>
      <c r="K42" s="2">
        <f t="shared" si="3"/>
        <v>4648.47</v>
      </c>
      <c r="L42" s="2"/>
      <c r="P42" s="2"/>
    </row>
    <row r="43" spans="1:16" s="1" customFormat="1" ht="15.75" customHeight="1">
      <c r="A43" s="30"/>
      <c r="B43" s="25"/>
      <c r="C43" s="28"/>
      <c r="D43" s="45">
        <f t="shared" si="4"/>
        <v>34200</v>
      </c>
      <c r="E43" s="27" t="s">
        <v>95</v>
      </c>
      <c r="F43" s="39">
        <v>11069999</v>
      </c>
      <c r="G43" s="141">
        <v>0</v>
      </c>
      <c r="H43" s="142"/>
      <c r="I43" s="3">
        <v>34200</v>
      </c>
      <c r="J43" s="3"/>
      <c r="K43" s="2">
        <f t="shared" si="3"/>
        <v>34200</v>
      </c>
      <c r="L43" s="2"/>
      <c r="P43" s="2"/>
    </row>
    <row r="44" spans="1:16" s="1" customFormat="1" ht="15.75" customHeight="1">
      <c r="A44" s="30"/>
      <c r="B44" s="25"/>
      <c r="C44" s="28"/>
      <c r="D44" s="45">
        <f t="shared" si="4"/>
        <v>57288</v>
      </c>
      <c r="E44" s="27" t="s">
        <v>63</v>
      </c>
      <c r="F44" s="39">
        <v>29010000</v>
      </c>
      <c r="G44" s="141">
        <v>0</v>
      </c>
      <c r="H44" s="142"/>
      <c r="I44" s="3">
        <v>57288</v>
      </c>
      <c r="J44" s="3"/>
      <c r="K44" s="2">
        <f t="shared" si="3"/>
        <v>57288</v>
      </c>
      <c r="L44" s="2"/>
      <c r="P44" s="2"/>
    </row>
    <row r="45" spans="1:16" s="1" customFormat="1" ht="15.75" customHeight="1">
      <c r="A45" s="30"/>
      <c r="B45" s="25"/>
      <c r="C45" s="28"/>
      <c r="D45" s="45">
        <f t="shared" si="4"/>
        <v>170000</v>
      </c>
      <c r="E45" s="27" t="s">
        <v>45</v>
      </c>
      <c r="F45" s="39">
        <v>11045000</v>
      </c>
      <c r="G45" s="141">
        <v>0</v>
      </c>
      <c r="H45" s="142"/>
      <c r="I45" s="3">
        <v>170000</v>
      </c>
      <c r="J45" s="3"/>
      <c r="K45" s="2">
        <f t="shared" si="3"/>
        <v>170000</v>
      </c>
      <c r="L45" s="2"/>
      <c r="P45" s="2"/>
    </row>
    <row r="46" spans="1:16" s="1" customFormat="1" ht="15.75" customHeight="1">
      <c r="A46" s="30"/>
      <c r="B46" s="25"/>
      <c r="C46" s="28"/>
      <c r="D46" s="45">
        <f t="shared" si="4"/>
        <v>4051825</v>
      </c>
      <c r="E46" s="27" t="s">
        <v>61</v>
      </c>
      <c r="F46" s="39">
        <v>11042000</v>
      </c>
      <c r="G46" s="141">
        <v>1500000</v>
      </c>
      <c r="H46" s="142"/>
      <c r="I46" s="3">
        <v>2551825</v>
      </c>
      <c r="J46" s="3"/>
      <c r="K46" s="2">
        <f t="shared" si="3"/>
        <v>4051825</v>
      </c>
      <c r="L46" s="2"/>
      <c r="P46" s="2"/>
    </row>
    <row r="47" spans="1:16" s="1" customFormat="1" ht="15.75" customHeight="1">
      <c r="A47" s="30"/>
      <c r="B47" s="25"/>
      <c r="C47" s="28"/>
      <c r="D47" s="45">
        <f t="shared" si="4"/>
        <v>0</v>
      </c>
      <c r="E47" s="27" t="s">
        <v>27</v>
      </c>
      <c r="F47" s="39">
        <v>21010000</v>
      </c>
      <c r="G47" s="141">
        <v>0</v>
      </c>
      <c r="H47" s="142"/>
      <c r="I47" s="3">
        <v>0</v>
      </c>
      <c r="J47" s="3"/>
      <c r="K47" s="2">
        <f t="shared" si="3"/>
        <v>0</v>
      </c>
      <c r="L47" s="2"/>
      <c r="P47" s="2"/>
    </row>
    <row r="48" spans="1:16" s="1" customFormat="1" ht="15.75" customHeight="1">
      <c r="A48" s="30"/>
      <c r="B48" s="25"/>
      <c r="C48" s="28"/>
      <c r="D48" s="45">
        <f t="shared" si="4"/>
        <v>0</v>
      </c>
      <c r="E48" s="27" t="s">
        <v>38</v>
      </c>
      <c r="F48" s="39">
        <v>21030000</v>
      </c>
      <c r="G48" s="141">
        <v>0</v>
      </c>
      <c r="H48" s="142"/>
      <c r="I48" s="3">
        <v>0</v>
      </c>
      <c r="J48" s="3"/>
      <c r="K48" s="2">
        <f t="shared" si="3"/>
        <v>0</v>
      </c>
      <c r="L48" s="2"/>
      <c r="P48" s="2"/>
    </row>
    <row r="49" spans="1:16" s="1" customFormat="1" ht="15.75" customHeight="1">
      <c r="A49" s="30"/>
      <c r="B49" s="25"/>
      <c r="C49" s="28"/>
      <c r="D49" s="45">
        <f t="shared" si="4"/>
        <v>33492.98</v>
      </c>
      <c r="E49" s="27" t="s">
        <v>66</v>
      </c>
      <c r="F49" s="39">
        <v>21040016</v>
      </c>
      <c r="G49" s="141">
        <v>3929.98</v>
      </c>
      <c r="H49" s="142"/>
      <c r="I49" s="3">
        <v>29563</v>
      </c>
      <c r="J49" s="3"/>
      <c r="K49" s="2">
        <f t="shared" si="3"/>
        <v>33492.98</v>
      </c>
      <c r="L49" s="2"/>
      <c r="P49" s="2"/>
    </row>
    <row r="50" spans="1:16" s="1" customFormat="1" ht="15.75" customHeight="1">
      <c r="A50" s="30"/>
      <c r="B50" s="25"/>
      <c r="C50" s="28"/>
      <c r="D50" s="45">
        <f t="shared" si="4"/>
        <v>0</v>
      </c>
      <c r="E50" s="26" t="s">
        <v>15</v>
      </c>
      <c r="F50" s="39">
        <v>31000000</v>
      </c>
      <c r="G50" s="141">
        <v>0</v>
      </c>
      <c r="H50" s="142"/>
      <c r="I50" s="3">
        <v>0</v>
      </c>
      <c r="J50" s="3"/>
      <c r="K50" s="2">
        <f t="shared" si="3"/>
        <v>0</v>
      </c>
      <c r="L50" s="2"/>
      <c r="P50" s="2"/>
    </row>
    <row r="51" spans="1:16" s="1" customFormat="1" ht="15.75" customHeight="1">
      <c r="A51" s="30"/>
      <c r="B51" s="26"/>
      <c r="C51" s="24"/>
      <c r="D51" s="45">
        <f t="shared" si="4"/>
        <v>0</v>
      </c>
      <c r="E51" s="27" t="s">
        <v>42</v>
      </c>
      <c r="F51" s="39">
        <v>32000000</v>
      </c>
      <c r="G51" s="151">
        <v>0</v>
      </c>
      <c r="H51" s="152"/>
      <c r="I51" s="3">
        <v>0</v>
      </c>
      <c r="J51" s="3"/>
      <c r="K51" s="2">
        <f>G51+I51</f>
        <v>0</v>
      </c>
      <c r="L51" s="2"/>
      <c r="P51" s="2"/>
    </row>
    <row r="52" spans="1:16" s="1" customFormat="1" ht="15.75" customHeight="1">
      <c r="A52" s="30"/>
      <c r="B52" s="26"/>
      <c r="C52" s="24"/>
      <c r="D52" s="49">
        <f>SUM(D38:D51)</f>
        <v>6908969.19</v>
      </c>
      <c r="E52" s="24"/>
      <c r="F52" s="50"/>
      <c r="G52" s="153">
        <f>SUM(G38:G51)</f>
        <v>1971341.04</v>
      </c>
      <c r="H52" s="154"/>
      <c r="I52" s="3">
        <f>SUM(I38:I51)</f>
        <v>4937628.15</v>
      </c>
      <c r="K52" s="6">
        <f>SUM(K18:K50)</f>
        <v>29901573.56</v>
      </c>
      <c r="L52" s="6"/>
      <c r="P52" s="2"/>
    </row>
    <row r="53" spans="1:16" s="1" customFormat="1" ht="15.75" customHeight="1">
      <c r="A53" s="100">
        <f>A37</f>
        <v>82000000</v>
      </c>
      <c r="B53" s="94">
        <f>SUM(B37)</f>
        <v>0</v>
      </c>
      <c r="C53" s="94">
        <f>SUM(C37)</f>
        <v>0</v>
      </c>
      <c r="D53" s="51">
        <f>D16+D36+D52</f>
        <v>58840625.41</v>
      </c>
      <c r="E53" s="42" t="s">
        <v>25</v>
      </c>
      <c r="F53" s="50"/>
      <c r="G53" s="153">
        <f>G16+G36+G52</f>
        <v>14171081.43</v>
      </c>
      <c r="H53" s="154"/>
      <c r="P53" s="2"/>
    </row>
    <row r="54" spans="1:16" s="1" customFormat="1" ht="15.75" customHeight="1">
      <c r="A54" s="108"/>
      <c r="B54" s="109"/>
      <c r="C54" s="109"/>
      <c r="D54" s="110"/>
      <c r="E54" s="41"/>
      <c r="F54" s="50"/>
      <c r="G54" s="111"/>
      <c r="H54" s="111"/>
      <c r="P54" s="2"/>
    </row>
    <row r="55" spans="1:10" ht="18" customHeight="1">
      <c r="A55" s="155" t="s">
        <v>28</v>
      </c>
      <c r="B55" s="155"/>
      <c r="C55" s="155"/>
      <c r="D55" s="155"/>
      <c r="E55" s="155"/>
      <c r="F55" s="155"/>
      <c r="G55" s="155"/>
      <c r="H55" s="155"/>
      <c r="I55" s="13"/>
      <c r="J55" s="13"/>
    </row>
    <row r="56" spans="1:16" s="1" customFormat="1" ht="15" customHeight="1">
      <c r="A56" s="179" t="s">
        <v>0</v>
      </c>
      <c r="B56" s="180"/>
      <c r="C56" s="180"/>
      <c r="D56" s="180"/>
      <c r="E56" s="181" t="s">
        <v>1</v>
      </c>
      <c r="F56" s="112"/>
      <c r="G56" s="113" t="s">
        <v>2</v>
      </c>
      <c r="H56" s="114"/>
      <c r="P56" s="2"/>
    </row>
    <row r="57" spans="1:16" s="1" customFormat="1" ht="13.5" customHeight="1">
      <c r="A57" s="115"/>
      <c r="B57" s="116" t="s">
        <v>57</v>
      </c>
      <c r="C57" s="116" t="s">
        <v>47</v>
      </c>
      <c r="D57" s="41" t="s">
        <v>48</v>
      </c>
      <c r="E57" s="182"/>
      <c r="F57" s="127" t="s">
        <v>98</v>
      </c>
      <c r="G57" s="184" t="s">
        <v>48</v>
      </c>
      <c r="H57" s="185"/>
      <c r="P57" s="2"/>
    </row>
    <row r="58" spans="1:16" s="1" customFormat="1" ht="13.5" customHeight="1">
      <c r="A58" s="119" t="s">
        <v>43</v>
      </c>
      <c r="B58" s="120" t="s">
        <v>58</v>
      </c>
      <c r="C58" s="42" t="s">
        <v>49</v>
      </c>
      <c r="D58" s="41" t="s">
        <v>49</v>
      </c>
      <c r="E58" s="182"/>
      <c r="F58" s="127" t="s">
        <v>99</v>
      </c>
      <c r="G58" s="117"/>
      <c r="H58" s="118"/>
      <c r="P58" s="2"/>
    </row>
    <row r="59" spans="1:16" s="1" customFormat="1" ht="13.5" customHeight="1" thickBot="1">
      <c r="A59" s="121" t="s">
        <v>49</v>
      </c>
      <c r="B59" s="122" t="s">
        <v>50</v>
      </c>
      <c r="C59" s="122"/>
      <c r="D59" s="123"/>
      <c r="E59" s="183"/>
      <c r="F59" s="124"/>
      <c r="G59" s="125" t="s">
        <v>3</v>
      </c>
      <c r="H59" s="126"/>
      <c r="P59" s="2"/>
    </row>
    <row r="60" spans="1:16" s="1" customFormat="1" ht="19.5" customHeight="1" thickTop="1">
      <c r="A60" s="74"/>
      <c r="B60" s="24"/>
      <c r="C60" s="26"/>
      <c r="D60" s="36"/>
      <c r="E60" s="35" t="s">
        <v>56</v>
      </c>
      <c r="F60" s="39"/>
      <c r="G60" s="137"/>
      <c r="H60" s="138"/>
      <c r="I60" s="1" t="s">
        <v>31</v>
      </c>
      <c r="K60" s="1" t="s">
        <v>26</v>
      </c>
      <c r="L60" s="7" t="s">
        <v>44</v>
      </c>
      <c r="P60" s="2"/>
    </row>
    <row r="61" spans="1:16" s="1" customFormat="1" ht="19.5" customHeight="1">
      <c r="A61" s="46">
        <v>19521070</v>
      </c>
      <c r="B61" s="70">
        <f>85932+85932</f>
        <v>171864</v>
      </c>
      <c r="C61" s="69">
        <f>SUM(A61:B61)</f>
        <v>19692934</v>
      </c>
      <c r="D61" s="38">
        <f>K61</f>
        <v>9602081</v>
      </c>
      <c r="E61" s="24" t="s">
        <v>29</v>
      </c>
      <c r="F61" s="39" t="s">
        <v>85</v>
      </c>
      <c r="G61" s="141">
        <f>1426659+28644</f>
        <v>1455303</v>
      </c>
      <c r="H61" s="142"/>
      <c r="I61" s="3">
        <v>8146778</v>
      </c>
      <c r="J61" s="3"/>
      <c r="K61" s="8">
        <f aca="true" t="shared" si="5" ref="K61:K71">G61+I61</f>
        <v>9602081</v>
      </c>
      <c r="L61" s="9">
        <f>C61-D61</f>
        <v>10090853</v>
      </c>
      <c r="P61" s="2"/>
    </row>
    <row r="62" spans="1:16" s="1" customFormat="1" ht="19.5" customHeight="1">
      <c r="A62" s="46">
        <v>3598300</v>
      </c>
      <c r="B62" s="70">
        <v>0</v>
      </c>
      <c r="C62" s="69">
        <f aca="true" t="shared" si="6" ref="C62:C71">SUM(A62:B62)</f>
        <v>3598300</v>
      </c>
      <c r="D62" s="38">
        <f aca="true" t="shared" si="7" ref="D62:D68">K62</f>
        <v>1799100</v>
      </c>
      <c r="E62" s="24" t="s">
        <v>76</v>
      </c>
      <c r="F62" s="39" t="s">
        <v>86</v>
      </c>
      <c r="G62" s="141">
        <v>299850</v>
      </c>
      <c r="H62" s="142"/>
      <c r="I62" s="3">
        <v>1499250</v>
      </c>
      <c r="J62" s="3"/>
      <c r="K62" s="8">
        <f t="shared" si="5"/>
        <v>1799100</v>
      </c>
      <c r="L62" s="9">
        <f aca="true" t="shared" si="8" ref="L62:L71">C62-D62</f>
        <v>1799200</v>
      </c>
      <c r="P62" s="2"/>
    </row>
    <row r="63" spans="1:16" s="1" customFormat="1" ht="19.5" customHeight="1">
      <c r="A63" s="45">
        <f>6538000+2380100+697900+8345300+3170100</f>
        <v>21131400</v>
      </c>
      <c r="B63" s="70">
        <v>0</v>
      </c>
      <c r="C63" s="69">
        <f t="shared" si="6"/>
        <v>21131400</v>
      </c>
      <c r="D63" s="38">
        <f t="shared" si="7"/>
        <v>8462340.08</v>
      </c>
      <c r="E63" s="24" t="s">
        <v>77</v>
      </c>
      <c r="F63" s="39" t="s">
        <v>87</v>
      </c>
      <c r="G63" s="141">
        <f>801735+599210</f>
        <v>1400945</v>
      </c>
      <c r="H63" s="142"/>
      <c r="I63" s="3">
        <v>7061395.08</v>
      </c>
      <c r="J63" s="3"/>
      <c r="K63" s="8">
        <f t="shared" si="5"/>
        <v>8462340.08</v>
      </c>
      <c r="L63" s="9">
        <f t="shared" si="8"/>
        <v>12669059.92</v>
      </c>
      <c r="P63" s="2"/>
    </row>
    <row r="64" spans="1:16" s="1" customFormat="1" ht="19.5" customHeight="1">
      <c r="A64" s="46">
        <f>447200+370000+195000+96000+174000</f>
        <v>1282200</v>
      </c>
      <c r="B64" s="70">
        <f>12000+24000</f>
        <v>36000</v>
      </c>
      <c r="C64" s="69">
        <f t="shared" si="6"/>
        <v>1318200</v>
      </c>
      <c r="D64" s="38">
        <f t="shared" si="7"/>
        <v>452430</v>
      </c>
      <c r="E64" s="24" t="s">
        <v>9</v>
      </c>
      <c r="F64" s="39" t="s">
        <v>88</v>
      </c>
      <c r="G64" s="141">
        <f>83460+4000</f>
        <v>87460</v>
      </c>
      <c r="H64" s="142"/>
      <c r="I64" s="3">
        <v>364970</v>
      </c>
      <c r="J64" s="3"/>
      <c r="K64" s="8">
        <f t="shared" si="5"/>
        <v>452430</v>
      </c>
      <c r="L64" s="9">
        <f t="shared" si="8"/>
        <v>865770</v>
      </c>
      <c r="P64" s="2"/>
    </row>
    <row r="65" spans="1:16" s="1" customFormat="1" ht="19.5" customHeight="1">
      <c r="A65" s="46">
        <f>2969000+630000+1315000+360000+3572450+837000+280000+150000+140000+30000</f>
        <v>10283450</v>
      </c>
      <c r="B65" s="70">
        <v>0</v>
      </c>
      <c r="C65" s="69">
        <f t="shared" si="6"/>
        <v>10283450</v>
      </c>
      <c r="D65" s="38">
        <f t="shared" si="7"/>
        <v>3068013.38</v>
      </c>
      <c r="E65" s="24" t="s">
        <v>10</v>
      </c>
      <c r="F65" s="39" t="s">
        <v>89</v>
      </c>
      <c r="G65" s="141">
        <f>3600+285327.3</f>
        <v>288927.3</v>
      </c>
      <c r="H65" s="142"/>
      <c r="I65" s="3">
        <v>2779086.08</v>
      </c>
      <c r="J65" s="3"/>
      <c r="K65" s="8">
        <f t="shared" si="5"/>
        <v>3068013.38</v>
      </c>
      <c r="L65" s="9">
        <f t="shared" si="8"/>
        <v>7215436.62</v>
      </c>
      <c r="P65" s="2"/>
    </row>
    <row r="66" spans="1:16" s="1" customFormat="1" ht="19.5" customHeight="1">
      <c r="A66" s="46">
        <f>1095000+265000+250000+389500+2608000+1420000</f>
        <v>6027500</v>
      </c>
      <c r="B66" s="70">
        <v>0</v>
      </c>
      <c r="C66" s="69">
        <f t="shared" si="6"/>
        <v>6027500</v>
      </c>
      <c r="D66" s="38">
        <f t="shared" si="7"/>
        <v>1296497.7000000002</v>
      </c>
      <c r="E66" s="24" t="s">
        <v>11</v>
      </c>
      <c r="F66" s="39" t="s">
        <v>90</v>
      </c>
      <c r="G66" s="141">
        <v>537804.8</v>
      </c>
      <c r="H66" s="142"/>
      <c r="I66" s="3">
        <v>758692.9</v>
      </c>
      <c r="J66" s="3"/>
      <c r="K66" s="8">
        <f t="shared" si="5"/>
        <v>1296497.7000000002</v>
      </c>
      <c r="L66" s="9">
        <f t="shared" si="8"/>
        <v>4731002.3</v>
      </c>
      <c r="P66" s="2"/>
    </row>
    <row r="67" spans="1:16" s="1" customFormat="1" ht="19.5" customHeight="1">
      <c r="A67" s="46">
        <f>695000+298000+71000</f>
        <v>1064000</v>
      </c>
      <c r="B67" s="70">
        <v>0</v>
      </c>
      <c r="C67" s="69">
        <f t="shared" si="6"/>
        <v>1064000</v>
      </c>
      <c r="D67" s="38">
        <f t="shared" si="7"/>
        <v>348554.77</v>
      </c>
      <c r="E67" s="24" t="s">
        <v>12</v>
      </c>
      <c r="F67" s="39" t="s">
        <v>91</v>
      </c>
      <c r="G67" s="156">
        <v>472</v>
      </c>
      <c r="H67" s="157"/>
      <c r="I67" s="3">
        <v>348082.77</v>
      </c>
      <c r="J67" s="3"/>
      <c r="K67" s="8">
        <f t="shared" si="5"/>
        <v>348554.77</v>
      </c>
      <c r="L67" s="9">
        <f t="shared" si="8"/>
        <v>715445.23</v>
      </c>
      <c r="P67" s="2"/>
    </row>
    <row r="68" spans="1:16" s="1" customFormat="1" ht="19.5" customHeight="1">
      <c r="A68" s="97">
        <f>320000+3928000+51080+400000+30000</f>
        <v>4729080</v>
      </c>
      <c r="B68" s="70">
        <v>0</v>
      </c>
      <c r="C68" s="69">
        <f t="shared" si="6"/>
        <v>4729080</v>
      </c>
      <c r="D68" s="38">
        <f t="shared" si="7"/>
        <v>1911000</v>
      </c>
      <c r="E68" s="24" t="s">
        <v>8</v>
      </c>
      <c r="F68" s="39" t="s">
        <v>92</v>
      </c>
      <c r="G68" s="139">
        <v>0</v>
      </c>
      <c r="H68" s="140"/>
      <c r="I68" s="3">
        <v>1911000</v>
      </c>
      <c r="J68" s="3"/>
      <c r="K68" s="8">
        <f t="shared" si="5"/>
        <v>1911000</v>
      </c>
      <c r="L68" s="9">
        <f t="shared" si="8"/>
        <v>2818080</v>
      </c>
      <c r="P68" s="2"/>
    </row>
    <row r="69" spans="1:16" s="1" customFormat="1" ht="19.5" customHeight="1">
      <c r="A69" s="45">
        <f>651600+139700+302600+316000+4125100</f>
        <v>5535000</v>
      </c>
      <c r="B69" s="70">
        <v>27000</v>
      </c>
      <c r="C69" s="69">
        <f t="shared" si="6"/>
        <v>5562000</v>
      </c>
      <c r="D69" s="38">
        <f>K69</f>
        <v>139300</v>
      </c>
      <c r="E69" s="24" t="s">
        <v>13</v>
      </c>
      <c r="F69" s="39" t="s">
        <v>93</v>
      </c>
      <c r="G69" s="141">
        <v>51300</v>
      </c>
      <c r="H69" s="142"/>
      <c r="I69" s="3">
        <v>88000</v>
      </c>
      <c r="J69" s="3"/>
      <c r="K69" s="8">
        <f t="shared" si="5"/>
        <v>139300</v>
      </c>
      <c r="L69" s="9">
        <f t="shared" si="8"/>
        <v>5422700</v>
      </c>
      <c r="P69" s="2"/>
    </row>
    <row r="70" spans="1:16" s="1" customFormat="1" ht="19.5" customHeight="1">
      <c r="A70" s="98">
        <f>450000+8378000</f>
        <v>8828000</v>
      </c>
      <c r="B70" s="70">
        <v>0</v>
      </c>
      <c r="C70" s="69">
        <f t="shared" si="6"/>
        <v>8828000</v>
      </c>
      <c r="D70" s="38">
        <f>K70</f>
        <v>5272999.99</v>
      </c>
      <c r="E70" s="24" t="s">
        <v>14</v>
      </c>
      <c r="F70" s="39">
        <v>54200000</v>
      </c>
      <c r="G70" s="141">
        <v>5272999.99</v>
      </c>
      <c r="H70" s="142"/>
      <c r="I70" s="3">
        <v>0</v>
      </c>
      <c r="J70" s="3"/>
      <c r="K70" s="8">
        <f t="shared" si="5"/>
        <v>5272999.99</v>
      </c>
      <c r="L70" s="9">
        <f t="shared" si="8"/>
        <v>3555000.01</v>
      </c>
      <c r="P70" s="2"/>
    </row>
    <row r="71" spans="1:16" s="1" customFormat="1" ht="19.5" customHeight="1">
      <c r="A71" s="98">
        <v>0</v>
      </c>
      <c r="B71" s="70">
        <v>0</v>
      </c>
      <c r="C71" s="69">
        <f t="shared" si="6"/>
        <v>0</v>
      </c>
      <c r="D71" s="38">
        <f>K71</f>
        <v>0</v>
      </c>
      <c r="E71" s="31" t="s">
        <v>94</v>
      </c>
      <c r="F71" s="39">
        <v>55000000</v>
      </c>
      <c r="G71" s="147">
        <v>0</v>
      </c>
      <c r="H71" s="148"/>
      <c r="I71" s="3">
        <v>0</v>
      </c>
      <c r="J71" s="3"/>
      <c r="K71" s="8">
        <f t="shared" si="5"/>
        <v>0</v>
      </c>
      <c r="L71" s="9">
        <f t="shared" si="8"/>
        <v>0</v>
      </c>
      <c r="P71" s="2"/>
    </row>
    <row r="72" spans="1:16" s="1" customFormat="1" ht="19.5" customHeight="1" thickBot="1">
      <c r="A72" s="75"/>
      <c r="B72" s="42"/>
      <c r="C72" s="52"/>
      <c r="D72" s="53">
        <f>SUM(D60:D70)</f>
        <v>32352316.919999994</v>
      </c>
      <c r="E72" s="31"/>
      <c r="F72" s="28"/>
      <c r="G72" s="158">
        <f>SUM(G60:G70)</f>
        <v>9395062.09</v>
      </c>
      <c r="H72" s="159"/>
      <c r="I72" s="4">
        <f>SUM(I61:I71)</f>
        <v>22957254.829999994</v>
      </c>
      <c r="K72" s="3"/>
      <c r="L72" s="3">
        <f>SUM(L61:L70)</f>
        <v>49882547.08</v>
      </c>
      <c r="P72" s="2"/>
    </row>
    <row r="73" spans="1:16" s="1" customFormat="1" ht="19.5" customHeight="1" thickTop="1">
      <c r="A73" s="30"/>
      <c r="B73" s="24"/>
      <c r="C73" s="27"/>
      <c r="D73" s="45">
        <f>K73</f>
        <v>0</v>
      </c>
      <c r="E73" s="27" t="s">
        <v>15</v>
      </c>
      <c r="F73" s="28">
        <v>31000000</v>
      </c>
      <c r="G73" s="151">
        <v>0</v>
      </c>
      <c r="H73" s="152"/>
      <c r="I73" s="3">
        <v>0</v>
      </c>
      <c r="J73" s="3"/>
      <c r="K73" s="2">
        <f aca="true" t="shared" si="9" ref="K73:K86">G73+I73</f>
        <v>0</v>
      </c>
      <c r="L73" s="2"/>
      <c r="P73" s="2"/>
    </row>
    <row r="74" spans="1:16" s="1" customFormat="1" ht="19.5" customHeight="1">
      <c r="A74" s="30"/>
      <c r="B74" s="24"/>
      <c r="C74" s="27"/>
      <c r="D74" s="45">
        <f>K74</f>
        <v>57288</v>
      </c>
      <c r="E74" s="27" t="s">
        <v>63</v>
      </c>
      <c r="F74" s="28">
        <v>29010000</v>
      </c>
      <c r="G74" s="151">
        <v>0</v>
      </c>
      <c r="H74" s="152"/>
      <c r="I74" s="3">
        <v>57288</v>
      </c>
      <c r="J74" s="3"/>
      <c r="K74" s="2">
        <f t="shared" si="9"/>
        <v>57288</v>
      </c>
      <c r="L74" s="2"/>
      <c r="P74" s="2"/>
    </row>
    <row r="75" spans="1:16" s="1" customFormat="1" ht="19.5" customHeight="1">
      <c r="A75" s="30"/>
      <c r="B75" s="24"/>
      <c r="C75" s="27"/>
      <c r="D75" s="45">
        <f aca="true" t="shared" si="10" ref="D75:D86">K75</f>
        <v>161510</v>
      </c>
      <c r="E75" s="27" t="s">
        <v>65</v>
      </c>
      <c r="F75" s="39">
        <v>11041000</v>
      </c>
      <c r="G75" s="151">
        <v>3600</v>
      </c>
      <c r="H75" s="152"/>
      <c r="I75" s="3">
        <v>157910</v>
      </c>
      <c r="J75" s="3"/>
      <c r="K75" s="2">
        <f t="shared" si="9"/>
        <v>161510</v>
      </c>
      <c r="L75" s="2">
        <v>25968108</v>
      </c>
      <c r="P75" s="2"/>
    </row>
    <row r="76" spans="1:16" s="1" customFormat="1" ht="19.5" customHeight="1">
      <c r="A76" s="30"/>
      <c r="B76" s="24"/>
      <c r="C76" s="27"/>
      <c r="D76" s="45">
        <f t="shared" si="10"/>
        <v>0</v>
      </c>
      <c r="E76" s="27" t="s">
        <v>30</v>
      </c>
      <c r="F76" s="39">
        <v>11047000</v>
      </c>
      <c r="G76" s="151">
        <v>0</v>
      </c>
      <c r="H76" s="152"/>
      <c r="I76" s="3">
        <v>0</v>
      </c>
      <c r="J76" s="3"/>
      <c r="K76" s="2">
        <f t="shared" si="9"/>
        <v>0</v>
      </c>
      <c r="L76" s="2" t="e">
        <f>#REF!-L75</f>
        <v>#REF!</v>
      </c>
      <c r="P76" s="2"/>
    </row>
    <row r="77" spans="1:16" s="1" customFormat="1" ht="19.5" customHeight="1">
      <c r="A77" s="30"/>
      <c r="B77" s="24"/>
      <c r="C77" s="26"/>
      <c r="D77" s="45">
        <f t="shared" si="10"/>
        <v>0</v>
      </c>
      <c r="E77" s="24" t="s">
        <v>36</v>
      </c>
      <c r="F77" s="39">
        <v>11043002</v>
      </c>
      <c r="G77" s="151">
        <v>0</v>
      </c>
      <c r="H77" s="152"/>
      <c r="I77" s="3">
        <v>0</v>
      </c>
      <c r="J77" s="3"/>
      <c r="K77" s="2">
        <f t="shared" si="9"/>
        <v>0</v>
      </c>
      <c r="L77" s="2"/>
      <c r="P77" s="2"/>
    </row>
    <row r="78" spans="1:16" s="1" customFormat="1" ht="19.5" customHeight="1">
      <c r="A78" s="30"/>
      <c r="B78" s="24"/>
      <c r="C78" s="26"/>
      <c r="D78" s="45">
        <f t="shared" si="10"/>
        <v>0</v>
      </c>
      <c r="E78" s="24" t="s">
        <v>39</v>
      </c>
      <c r="F78" s="39">
        <v>11043003</v>
      </c>
      <c r="G78" s="151">
        <v>0</v>
      </c>
      <c r="H78" s="152"/>
      <c r="I78" s="3">
        <v>0</v>
      </c>
      <c r="J78" s="3"/>
      <c r="K78" s="2">
        <f t="shared" si="9"/>
        <v>0</v>
      </c>
      <c r="L78" s="2"/>
      <c r="P78" s="2"/>
    </row>
    <row r="79" spans="1:16" s="1" customFormat="1" ht="19.5" customHeight="1">
      <c r="A79" s="30"/>
      <c r="B79" s="24"/>
      <c r="C79" s="26"/>
      <c r="D79" s="45">
        <f t="shared" si="10"/>
        <v>100000</v>
      </c>
      <c r="E79" s="27" t="s">
        <v>45</v>
      </c>
      <c r="F79" s="39">
        <v>11045000</v>
      </c>
      <c r="G79" s="151">
        <v>100000</v>
      </c>
      <c r="H79" s="152"/>
      <c r="I79" s="3">
        <v>0</v>
      </c>
      <c r="J79" s="3"/>
      <c r="K79" s="2">
        <f t="shared" si="9"/>
        <v>100000</v>
      </c>
      <c r="L79" s="2"/>
      <c r="P79" s="2"/>
    </row>
    <row r="80" spans="1:16" s="1" customFormat="1" ht="19.5" customHeight="1">
      <c r="A80" s="30"/>
      <c r="B80" s="24"/>
      <c r="C80" s="26"/>
      <c r="D80" s="45">
        <f t="shared" si="10"/>
        <v>57288</v>
      </c>
      <c r="E80" s="24" t="s">
        <v>62</v>
      </c>
      <c r="F80" s="39">
        <v>19040000</v>
      </c>
      <c r="G80" s="151"/>
      <c r="H80" s="152"/>
      <c r="I80" s="3">
        <v>57288</v>
      </c>
      <c r="J80" s="3"/>
      <c r="K80" s="2">
        <f t="shared" si="9"/>
        <v>57288</v>
      </c>
      <c r="L80" s="2"/>
      <c r="P80" s="2"/>
    </row>
    <row r="81" spans="1:16" s="1" customFormat="1" ht="15.75" customHeight="1">
      <c r="A81" s="30"/>
      <c r="B81" s="25"/>
      <c r="C81" s="28"/>
      <c r="D81" s="45">
        <f>K81</f>
        <v>0</v>
      </c>
      <c r="E81" s="27" t="s">
        <v>95</v>
      </c>
      <c r="F81" s="39">
        <v>11069999</v>
      </c>
      <c r="G81" s="141">
        <v>0</v>
      </c>
      <c r="H81" s="142"/>
      <c r="I81" s="3">
        <v>0</v>
      </c>
      <c r="J81" s="3"/>
      <c r="K81" s="2">
        <f>SUM(G81+I81)</f>
        <v>0</v>
      </c>
      <c r="L81" s="2"/>
      <c r="P81" s="2"/>
    </row>
    <row r="82" spans="1:16" s="1" customFormat="1" ht="19.5" customHeight="1">
      <c r="A82" s="24"/>
      <c r="B82" s="24"/>
      <c r="C82" s="26"/>
      <c r="D82" s="45">
        <f>K82</f>
        <v>0</v>
      </c>
      <c r="E82" s="24" t="s">
        <v>61</v>
      </c>
      <c r="F82" s="39">
        <v>11042000</v>
      </c>
      <c r="G82" s="151">
        <v>0</v>
      </c>
      <c r="H82" s="152"/>
      <c r="I82" s="3">
        <v>0</v>
      </c>
      <c r="J82" s="3"/>
      <c r="K82" s="2">
        <f t="shared" si="9"/>
        <v>0</v>
      </c>
      <c r="L82" s="2"/>
      <c r="P82" s="2"/>
    </row>
    <row r="83" spans="1:16" s="1" customFormat="1" ht="19.5" customHeight="1">
      <c r="A83" s="24"/>
      <c r="B83" s="24"/>
      <c r="C83" s="26"/>
      <c r="D83" s="45">
        <f t="shared" si="10"/>
        <v>2269307.86</v>
      </c>
      <c r="E83" s="24" t="s">
        <v>33</v>
      </c>
      <c r="F83" s="28">
        <v>21040000</v>
      </c>
      <c r="G83" s="151">
        <v>374750.39</v>
      </c>
      <c r="H83" s="152"/>
      <c r="I83" s="3">
        <v>1894557.47</v>
      </c>
      <c r="J83" s="3"/>
      <c r="K83" s="2">
        <f t="shared" si="9"/>
        <v>2269307.86</v>
      </c>
      <c r="L83" s="2"/>
      <c r="P83" s="2"/>
    </row>
    <row r="84" spans="1:16" s="1" customFormat="1" ht="19.5" customHeight="1">
      <c r="A84" s="24"/>
      <c r="B84" s="24"/>
      <c r="C84" s="26"/>
      <c r="D84" s="45">
        <f t="shared" si="10"/>
        <v>0</v>
      </c>
      <c r="E84" s="24" t="s">
        <v>66</v>
      </c>
      <c r="F84" s="28">
        <v>21040016</v>
      </c>
      <c r="G84" s="151">
        <v>0</v>
      </c>
      <c r="H84" s="152"/>
      <c r="I84" s="3">
        <v>0</v>
      </c>
      <c r="J84" s="3"/>
      <c r="K84" s="2">
        <f t="shared" si="9"/>
        <v>0</v>
      </c>
      <c r="L84" s="2"/>
      <c r="P84" s="2"/>
    </row>
    <row r="85" spans="1:16" s="1" customFormat="1" ht="19.5" customHeight="1">
      <c r="A85" s="24"/>
      <c r="B85" s="24"/>
      <c r="C85" s="26"/>
      <c r="D85" s="45">
        <f t="shared" si="10"/>
        <v>10847086.19</v>
      </c>
      <c r="E85" s="24" t="s">
        <v>37</v>
      </c>
      <c r="F85" s="28">
        <v>21010000</v>
      </c>
      <c r="G85" s="151">
        <v>2706176.94</v>
      </c>
      <c r="H85" s="152"/>
      <c r="I85" s="3">
        <v>8140909.25</v>
      </c>
      <c r="J85" s="3"/>
      <c r="K85" s="2">
        <f t="shared" si="9"/>
        <v>10847086.19</v>
      </c>
      <c r="L85" s="2"/>
      <c r="P85" s="2"/>
    </row>
    <row r="86" spans="1:16" s="1" customFormat="1" ht="19.5" customHeight="1">
      <c r="A86" s="24"/>
      <c r="B86" s="24"/>
      <c r="C86" s="26"/>
      <c r="D86" s="45">
        <f t="shared" si="10"/>
        <v>3100</v>
      </c>
      <c r="E86" s="24" t="s">
        <v>38</v>
      </c>
      <c r="F86" s="28">
        <v>21030000</v>
      </c>
      <c r="G86" s="151">
        <v>0</v>
      </c>
      <c r="H86" s="152"/>
      <c r="I86" s="3">
        <v>3100</v>
      </c>
      <c r="J86" s="3"/>
      <c r="K86" s="2">
        <f t="shared" si="9"/>
        <v>3100</v>
      </c>
      <c r="L86" s="2"/>
      <c r="P86" s="2"/>
    </row>
    <row r="87" spans="1:16" s="1" customFormat="1" ht="19.5" customHeight="1" thickBot="1">
      <c r="A87" s="29"/>
      <c r="B87" s="24"/>
      <c r="C87" s="26"/>
      <c r="D87" s="82">
        <f>SUM(D73:D86)</f>
        <v>13495580.049999999</v>
      </c>
      <c r="E87" s="29"/>
      <c r="F87" s="50"/>
      <c r="G87" s="158">
        <f>SUM(G73:G86)</f>
        <v>3184527.33</v>
      </c>
      <c r="H87" s="159"/>
      <c r="I87" s="3">
        <f>SUM(I73:I86)</f>
        <v>10311052.719999999</v>
      </c>
      <c r="K87" s="3">
        <f>SUM(K73:K86)</f>
        <v>13495580.049999999</v>
      </c>
      <c r="L87" s="3"/>
      <c r="P87" s="2"/>
    </row>
    <row r="88" spans="1:16" s="1" customFormat="1" ht="19.5" customHeight="1" thickTop="1">
      <c r="A88" s="71">
        <f>SUM(A61:A87)</f>
        <v>82000000</v>
      </c>
      <c r="B88" s="71">
        <f>SUM(B61:B87)</f>
        <v>234864</v>
      </c>
      <c r="C88" s="71">
        <f>SUM(C61:C87)</f>
        <v>82234864</v>
      </c>
      <c r="D88" s="81">
        <f>D72+D87</f>
        <v>45847896.96999999</v>
      </c>
      <c r="E88" s="56" t="s">
        <v>20</v>
      </c>
      <c r="F88" s="57"/>
      <c r="G88" s="164">
        <f>G72+G87</f>
        <v>12579589.42</v>
      </c>
      <c r="H88" s="165"/>
      <c r="P88" s="2"/>
    </row>
    <row r="89" spans="1:16" s="1" customFormat="1" ht="19.5" customHeight="1">
      <c r="A89" s="58"/>
      <c r="B89" s="58"/>
      <c r="C89" s="58"/>
      <c r="D89" s="59">
        <f>D53-D88</f>
        <v>12992728.440000005</v>
      </c>
      <c r="E89" s="25" t="s">
        <v>21</v>
      </c>
      <c r="F89" s="50"/>
      <c r="G89" s="166"/>
      <c r="H89" s="167"/>
      <c r="K89" s="1">
        <v>49617015.23</v>
      </c>
      <c r="P89" s="2"/>
    </row>
    <row r="90" spans="1:16" s="1" customFormat="1" ht="19.5" customHeight="1">
      <c r="A90" s="26"/>
      <c r="B90" s="26"/>
      <c r="C90" s="26"/>
      <c r="D90" s="60"/>
      <c r="E90" s="26" t="s">
        <v>22</v>
      </c>
      <c r="F90" s="50"/>
      <c r="G90" s="141"/>
      <c r="H90" s="142"/>
      <c r="K90" s="1">
        <v>49374015.23</v>
      </c>
      <c r="P90" s="2"/>
    </row>
    <row r="91" spans="1:16" s="1" customFormat="1" ht="19.5" customHeight="1">
      <c r="A91" s="26"/>
      <c r="B91" s="26"/>
      <c r="C91" s="26"/>
      <c r="D91" s="61"/>
      <c r="E91" s="26" t="s">
        <v>23</v>
      </c>
      <c r="F91" s="50"/>
      <c r="G91" s="160">
        <f>G53-G88</f>
        <v>1591492.0099999998</v>
      </c>
      <c r="H91" s="161"/>
      <c r="K91" s="1">
        <f>K89-K90</f>
        <v>243000</v>
      </c>
      <c r="P91" s="2"/>
    </row>
    <row r="92" spans="1:16" s="1" customFormat="1" ht="19.5" customHeight="1" thickBot="1">
      <c r="A92" s="26"/>
      <c r="B92" s="26"/>
      <c r="C92" s="26"/>
      <c r="D92" s="54">
        <f>D8+D53-D88</f>
        <v>62563464.209999986</v>
      </c>
      <c r="E92" s="25" t="s">
        <v>24</v>
      </c>
      <c r="F92" s="50"/>
      <c r="G92" s="158">
        <f>G8+G53-G88</f>
        <v>62563464.20999999</v>
      </c>
      <c r="H92" s="159"/>
      <c r="I92" s="2">
        <f>33257.5+21534904.15+8269457.69+831747.14+31894097.73</f>
        <v>62563464.21</v>
      </c>
      <c r="J92" s="2"/>
      <c r="K92" s="10">
        <f>G92-I92</f>
        <v>0</v>
      </c>
      <c r="L92" s="10"/>
      <c r="P92" s="2"/>
    </row>
    <row r="93" spans="1:16" s="1" customFormat="1" ht="14.25" customHeight="1" thickTop="1">
      <c r="A93" s="26"/>
      <c r="B93" s="26"/>
      <c r="C93" s="26"/>
      <c r="D93" s="62"/>
      <c r="E93" s="63"/>
      <c r="F93" s="25"/>
      <c r="G93" s="62"/>
      <c r="H93" s="64"/>
      <c r="I93" s="3">
        <f>G92-I92</f>
        <v>0</v>
      </c>
      <c r="J93" s="3"/>
      <c r="K93" s="10">
        <v>55106253.61699999</v>
      </c>
      <c r="L93" s="10"/>
      <c r="P93" s="2"/>
    </row>
    <row r="94" spans="1:16" s="1" customFormat="1" ht="18.75" customHeight="1">
      <c r="A94" s="26"/>
      <c r="B94" s="26"/>
      <c r="C94" s="26"/>
      <c r="D94" s="62"/>
      <c r="E94" s="63"/>
      <c r="F94" s="25"/>
      <c r="G94" s="62"/>
      <c r="H94" s="64"/>
      <c r="I94" s="3"/>
      <c r="J94" s="3"/>
      <c r="K94" s="10"/>
      <c r="L94" s="10"/>
      <c r="P94" s="2"/>
    </row>
    <row r="95" spans="1:16" s="1" customFormat="1" ht="22.5" customHeight="1">
      <c r="A95" s="102" t="s">
        <v>41</v>
      </c>
      <c r="B95" s="103"/>
      <c r="C95" s="103"/>
      <c r="D95" s="162" t="s">
        <v>96</v>
      </c>
      <c r="E95" s="162"/>
      <c r="F95" s="162"/>
      <c r="G95" s="162"/>
      <c r="H95" s="162"/>
      <c r="I95" s="3"/>
      <c r="K95" s="10"/>
      <c r="L95" s="10"/>
      <c r="P95" s="2"/>
    </row>
    <row r="96" spans="1:16" s="1" customFormat="1" ht="22.5" customHeight="1">
      <c r="A96" s="102" t="s">
        <v>64</v>
      </c>
      <c r="B96" s="103"/>
      <c r="C96" s="103"/>
      <c r="D96" s="104" t="s">
        <v>101</v>
      </c>
      <c r="E96" s="104"/>
      <c r="F96" s="104"/>
      <c r="G96" s="104"/>
      <c r="H96" s="64"/>
      <c r="I96" s="3"/>
      <c r="K96" s="10"/>
      <c r="L96" s="10"/>
      <c r="P96" s="2"/>
    </row>
    <row r="97" spans="1:16" s="1" customFormat="1" ht="14.25" customHeight="1">
      <c r="A97" s="105" t="s">
        <v>60</v>
      </c>
      <c r="B97" s="105"/>
      <c r="C97" s="105"/>
      <c r="D97" s="106" t="s">
        <v>103</v>
      </c>
      <c r="F97" s="104"/>
      <c r="G97" s="107"/>
      <c r="H97" s="25"/>
      <c r="K97" s="2"/>
      <c r="L97" s="2"/>
      <c r="P97" s="2"/>
    </row>
    <row r="98" spans="1:16" s="1" customFormat="1" ht="18.75" customHeight="1">
      <c r="A98" s="26"/>
      <c r="B98" s="26"/>
      <c r="C98" s="26"/>
      <c r="D98" s="106" t="s">
        <v>102</v>
      </c>
      <c r="E98" s="63"/>
      <c r="F98" s="25"/>
      <c r="G98" s="62"/>
      <c r="H98" s="64"/>
      <c r="I98" s="3"/>
      <c r="J98" s="3"/>
      <c r="K98" s="10"/>
      <c r="L98" s="10"/>
      <c r="P98" s="2"/>
    </row>
    <row r="99" spans="1:16" s="1" customFormat="1" ht="18.75" customHeight="1">
      <c r="A99" s="26"/>
      <c r="B99" s="26"/>
      <c r="C99" s="26"/>
      <c r="D99" s="62"/>
      <c r="E99" s="63"/>
      <c r="F99" s="25"/>
      <c r="G99" s="62"/>
      <c r="H99" s="64"/>
      <c r="I99" s="3"/>
      <c r="J99" s="3"/>
      <c r="K99" s="10"/>
      <c r="L99" s="10"/>
      <c r="P99" s="2"/>
    </row>
    <row r="100" spans="1:16" s="1" customFormat="1" ht="18.75" customHeight="1">
      <c r="A100" s="26"/>
      <c r="B100" s="26"/>
      <c r="C100" s="26"/>
      <c r="D100" s="62"/>
      <c r="E100" s="63"/>
      <c r="F100" s="25"/>
      <c r="G100" s="62"/>
      <c r="H100" s="64"/>
      <c r="I100" s="3"/>
      <c r="J100" s="3"/>
      <c r="K100" s="10"/>
      <c r="L100" s="10"/>
      <c r="P100" s="2"/>
    </row>
    <row r="101" spans="1:16" s="1" customFormat="1" ht="18.75" customHeight="1">
      <c r="A101" s="26"/>
      <c r="B101" s="26"/>
      <c r="C101" s="26"/>
      <c r="D101" s="62"/>
      <c r="E101" s="63"/>
      <c r="F101" s="25"/>
      <c r="G101" s="62"/>
      <c r="H101" s="64"/>
      <c r="I101" s="3">
        <f>5587194.69+930067.16+32919806.2+21534904.15</f>
        <v>60971972.199999996</v>
      </c>
      <c r="J101" s="3"/>
      <c r="K101" s="10"/>
      <c r="L101" s="10"/>
      <c r="P101" s="2"/>
    </row>
    <row r="102" spans="1:16" s="1" customFormat="1" ht="22.5" customHeight="1">
      <c r="A102" s="65" t="s">
        <v>41</v>
      </c>
      <c r="B102" s="26"/>
      <c r="C102" s="26"/>
      <c r="D102" s="163" t="s">
        <v>59</v>
      </c>
      <c r="E102" s="163"/>
      <c r="F102" s="163"/>
      <c r="G102" s="163"/>
      <c r="H102" s="64"/>
      <c r="I102" s="3"/>
      <c r="K102" s="10"/>
      <c r="L102" s="10"/>
      <c r="P102" s="2"/>
    </row>
    <row r="103" spans="1:16" s="1" customFormat="1" ht="22.5" customHeight="1">
      <c r="A103" s="73" t="s">
        <v>72</v>
      </c>
      <c r="B103" s="26"/>
      <c r="C103" s="26"/>
      <c r="D103" s="63" t="s">
        <v>73</v>
      </c>
      <c r="E103" s="63"/>
      <c r="F103" s="63"/>
      <c r="G103" s="63"/>
      <c r="H103" s="64"/>
      <c r="I103" s="3"/>
      <c r="K103" s="10"/>
      <c r="L103" s="10"/>
      <c r="P103" s="2"/>
    </row>
    <row r="104" spans="1:16" s="1" customFormat="1" ht="14.25" customHeight="1">
      <c r="A104" s="95" t="s">
        <v>71</v>
      </c>
      <c r="B104" s="73"/>
      <c r="C104" s="73"/>
      <c r="D104" s="67" t="s">
        <v>75</v>
      </c>
      <c r="E104" s="66"/>
      <c r="F104" s="63"/>
      <c r="G104" s="68"/>
      <c r="H104" s="25"/>
      <c r="K104" s="2"/>
      <c r="L104" s="2"/>
      <c r="P104" s="2"/>
    </row>
    <row r="105" spans="1:12" ht="17.25" customHeight="1">
      <c r="A105" s="73" t="s">
        <v>60</v>
      </c>
      <c r="B105" s="76"/>
      <c r="C105" s="76"/>
      <c r="D105" s="67" t="s">
        <v>74</v>
      </c>
      <c r="E105" s="77"/>
      <c r="F105" s="78"/>
      <c r="G105" s="79"/>
      <c r="H105" s="80"/>
      <c r="K105" s="12"/>
      <c r="L105" s="12"/>
    </row>
    <row r="106" spans="1:15" ht="21" customHeight="1">
      <c r="A106" s="18"/>
      <c r="B106" s="18"/>
      <c r="C106" s="18"/>
      <c r="D106" s="18"/>
      <c r="E106" s="21"/>
      <c r="F106" s="17"/>
      <c r="G106" s="20"/>
      <c r="H106" s="15"/>
      <c r="I106" s="14"/>
      <c r="J106" s="16"/>
      <c r="K106" s="22"/>
      <c r="L106" s="22"/>
      <c r="M106" s="16"/>
      <c r="N106" s="16"/>
      <c r="O106" s="16"/>
    </row>
    <row r="107" spans="1:15" ht="21" customHeight="1">
      <c r="A107" s="18"/>
      <c r="B107" s="18"/>
      <c r="C107" s="18"/>
      <c r="D107" s="18"/>
      <c r="E107" s="19"/>
      <c r="F107" s="17"/>
      <c r="G107" s="20"/>
      <c r="H107" s="15"/>
      <c r="I107" s="14"/>
      <c r="J107" s="16"/>
      <c r="K107" s="22"/>
      <c r="L107" s="22"/>
      <c r="M107" s="23"/>
      <c r="N107" s="16"/>
      <c r="O107" s="16"/>
    </row>
    <row r="108" spans="1:15" ht="21" customHeight="1">
      <c r="A108" s="18"/>
      <c r="B108" s="18"/>
      <c r="C108" s="18"/>
      <c r="D108" s="18"/>
      <c r="E108" s="19"/>
      <c r="F108" s="17"/>
      <c r="G108" s="20"/>
      <c r="H108" s="15"/>
      <c r="I108" s="14"/>
      <c r="J108" s="16"/>
      <c r="K108" s="22"/>
      <c r="L108" s="22"/>
      <c r="M108" s="23"/>
      <c r="N108" s="16"/>
      <c r="O108" s="16"/>
    </row>
    <row r="109" spans="1:15" ht="21" customHeight="1">
      <c r="A109" s="18"/>
      <c r="B109" s="18"/>
      <c r="C109" s="18"/>
      <c r="D109" s="18"/>
      <c r="E109" s="19"/>
      <c r="F109" s="17"/>
      <c r="G109" s="20"/>
      <c r="H109" s="15"/>
      <c r="I109" s="14"/>
      <c r="J109" s="16"/>
      <c r="K109" s="22"/>
      <c r="L109" s="22"/>
      <c r="M109" s="23"/>
      <c r="N109" s="16"/>
      <c r="O109" s="16"/>
    </row>
    <row r="110" spans="9:16" ht="17.25">
      <c r="I110" s="12"/>
      <c r="J110" s="12"/>
      <c r="K110" s="12"/>
      <c r="L110" s="12"/>
      <c r="P110" s="11"/>
    </row>
    <row r="111" spans="9:16" ht="17.25">
      <c r="I111" s="12"/>
      <c r="J111" s="12"/>
      <c r="K111" s="12"/>
      <c r="L111" s="12"/>
      <c r="P111" s="11"/>
    </row>
    <row r="112" spans="9:16" ht="17.25">
      <c r="I112" s="12"/>
      <c r="J112" s="12"/>
      <c r="K112" s="12"/>
      <c r="L112" s="12"/>
      <c r="P112" s="11"/>
    </row>
    <row r="113" spans="9:16" ht="17.25">
      <c r="I113" s="12"/>
      <c r="J113" s="12"/>
      <c r="K113" s="12"/>
      <c r="L113" s="12"/>
      <c r="P113" s="11"/>
    </row>
    <row r="114" spans="9:16" ht="17.25">
      <c r="I114" s="12"/>
      <c r="J114" s="12"/>
      <c r="K114" s="12"/>
      <c r="L114" s="12"/>
      <c r="P114" s="11"/>
    </row>
    <row r="115" spans="9:16" ht="17.25">
      <c r="I115" s="12"/>
      <c r="J115" s="12"/>
      <c r="K115" s="12"/>
      <c r="L115" s="12"/>
      <c r="P115" s="11"/>
    </row>
    <row r="116" spans="9:16" ht="17.25">
      <c r="I116" s="12"/>
      <c r="J116" s="12"/>
      <c r="K116" s="12"/>
      <c r="L116" s="12"/>
      <c r="P116" s="11"/>
    </row>
    <row r="117" spans="9:16" ht="17.25">
      <c r="I117" s="12"/>
      <c r="J117" s="12"/>
      <c r="K117" s="12"/>
      <c r="L117" s="12"/>
      <c r="P117" s="11"/>
    </row>
  </sheetData>
  <sheetProtection/>
  <mergeCells count="86">
    <mergeCell ref="G90:H90"/>
    <mergeCell ref="G91:H91"/>
    <mergeCell ref="G92:H92"/>
    <mergeCell ref="D95:H95"/>
    <mergeCell ref="D102:G102"/>
    <mergeCell ref="G84:H84"/>
    <mergeCell ref="G85:H85"/>
    <mergeCell ref="G86:H86"/>
    <mergeCell ref="G87:H87"/>
    <mergeCell ref="G88:H88"/>
    <mergeCell ref="G89:H89"/>
    <mergeCell ref="G78:H78"/>
    <mergeCell ref="G79:H79"/>
    <mergeCell ref="G80:H80"/>
    <mergeCell ref="G81:H81"/>
    <mergeCell ref="G82:H82"/>
    <mergeCell ref="G83:H83"/>
    <mergeCell ref="G72:H72"/>
    <mergeCell ref="G73:H73"/>
    <mergeCell ref="G74:H74"/>
    <mergeCell ref="G75:H75"/>
    <mergeCell ref="G76:H76"/>
    <mergeCell ref="G77:H77"/>
    <mergeCell ref="G66:H66"/>
    <mergeCell ref="G67:H67"/>
    <mergeCell ref="G68:H68"/>
    <mergeCell ref="G69:H69"/>
    <mergeCell ref="G70:H70"/>
    <mergeCell ref="G71:H71"/>
    <mergeCell ref="G60:H60"/>
    <mergeCell ref="G61:H61"/>
    <mergeCell ref="G62:H62"/>
    <mergeCell ref="G63:H63"/>
    <mergeCell ref="G64:H64"/>
    <mergeCell ref="G65:H65"/>
    <mergeCell ref="G51:H51"/>
    <mergeCell ref="G52:H52"/>
    <mergeCell ref="G53:H53"/>
    <mergeCell ref="A55:H55"/>
    <mergeCell ref="A56:D56"/>
    <mergeCell ref="E56:E59"/>
    <mergeCell ref="G57:H57"/>
    <mergeCell ref="G45:H45"/>
    <mergeCell ref="G46:H46"/>
    <mergeCell ref="G47:H47"/>
    <mergeCell ref="G48:H48"/>
    <mergeCell ref="G49:H49"/>
    <mergeCell ref="G50:H50"/>
    <mergeCell ref="G39:H39"/>
    <mergeCell ref="G40:H40"/>
    <mergeCell ref="G41:H41"/>
    <mergeCell ref="G42:H42"/>
    <mergeCell ref="G43:H43"/>
    <mergeCell ref="G44:H44"/>
    <mergeCell ref="G33:H33"/>
    <mergeCell ref="G34:H34"/>
    <mergeCell ref="G35:H35"/>
    <mergeCell ref="G36:H36"/>
    <mergeCell ref="G37:H37"/>
    <mergeCell ref="G38:H38"/>
    <mergeCell ref="G21:H21"/>
    <mergeCell ref="G22:H22"/>
    <mergeCell ref="G23:H23"/>
    <mergeCell ref="G30:H30"/>
    <mergeCell ref="G31:H31"/>
    <mergeCell ref="G32:H32"/>
    <mergeCell ref="G14:H14"/>
    <mergeCell ref="G15:H15"/>
    <mergeCell ref="G16:H16"/>
    <mergeCell ref="G18:H18"/>
    <mergeCell ref="G19:H19"/>
    <mergeCell ref="G20:H20"/>
    <mergeCell ref="G8:H8"/>
    <mergeCell ref="G9:H9"/>
    <mergeCell ref="G10:H10"/>
    <mergeCell ref="G11:H11"/>
    <mergeCell ref="G12:H12"/>
    <mergeCell ref="G13:H13"/>
    <mergeCell ref="A1:H1"/>
    <mergeCell ref="A2:H2"/>
    <mergeCell ref="A3:H3"/>
    <mergeCell ref="A4:D4"/>
    <mergeCell ref="E4:E6"/>
    <mergeCell ref="G4:H4"/>
    <mergeCell ref="G5:H5"/>
    <mergeCell ref="G6:H6"/>
  </mergeCells>
  <printOptions/>
  <pageMargins left="0.31496062992125984" right="0.31496062992125984" top="0.2755905511811024" bottom="0" header="0.1574803149606299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Pre-Load Install</dc:creator>
  <cp:keywords/>
  <dc:description/>
  <cp:lastModifiedBy>PKG_006</cp:lastModifiedBy>
  <cp:lastPrinted>2019-06-06T03:00:59Z</cp:lastPrinted>
  <dcterms:created xsi:type="dcterms:W3CDTF">2001-01-26T07:16:55Z</dcterms:created>
  <dcterms:modified xsi:type="dcterms:W3CDTF">2019-06-21T03:43:32Z</dcterms:modified>
  <cp:category/>
  <cp:version/>
  <cp:contentType/>
  <cp:contentStatus/>
</cp:coreProperties>
</file>